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iveta.bluma\AppData\Local\Microsoft\Windows\INetCache\Content.Outlook\JK9BF2ZJ\"/>
    </mc:Choice>
  </mc:AlternateContent>
  <xr:revisionPtr revIDLastSave="0" documentId="8_{C82C946F-C684-4CE3-81F1-B3B5017048B6}" xr6:coauthVersionLast="47" xr6:coauthVersionMax="47" xr10:uidLastSave="{00000000-0000-0000-0000-000000000000}"/>
  <bookViews>
    <workbookView xWindow="-120" yWindow="-120" windowWidth="25440" windowHeight="15270" tabRatio="866" firstSheet="31" activeTab="47" xr2:uid="{1819F14E-B567-4F43-AA90-A1A7C0D208CB}"/>
  </bookViews>
  <sheets>
    <sheet name="1.1.1." sheetId="1" r:id="rId1"/>
    <sheet name="1.1.2." sheetId="10" r:id="rId2"/>
    <sheet name="1.1.3." sheetId="11" r:id="rId3"/>
    <sheet name="1.2.1." sheetId="12" r:id="rId4"/>
    <sheet name="1.2.2." sheetId="13" r:id="rId5"/>
    <sheet name="1.3.1." sheetId="14" r:id="rId6"/>
    <sheet name="1.3.2." sheetId="15" r:id="rId7"/>
    <sheet name="1.3.3." sheetId="16" r:id="rId8"/>
    <sheet name="1.4." sheetId="17" r:id="rId9"/>
    <sheet name="2." sheetId="6" r:id="rId10"/>
    <sheet name="3.1." sheetId="7" r:id="rId11"/>
    <sheet name="3.2." sheetId="8" r:id="rId12"/>
    <sheet name="3.3." sheetId="9" r:id="rId13"/>
    <sheet name="3.4." sheetId="2" r:id="rId14"/>
    <sheet name="4.1." sheetId="3" r:id="rId15"/>
    <sheet name="4.2." sheetId="4" r:id="rId16"/>
    <sheet name="4.3." sheetId="5" r:id="rId17"/>
    <sheet name="4.4." sheetId="18" r:id="rId18"/>
    <sheet name="4.5." sheetId="19" r:id="rId19"/>
    <sheet name="4.6." sheetId="20" r:id="rId20"/>
    <sheet name="4.7." sheetId="21" r:id="rId21"/>
    <sheet name="4.8." sheetId="22" r:id="rId22"/>
    <sheet name="4.9." sheetId="23" r:id="rId23"/>
    <sheet name="4.10." sheetId="24" r:id="rId24"/>
    <sheet name="4.11." sheetId="25" r:id="rId25"/>
    <sheet name="4.12." sheetId="26" r:id="rId26"/>
    <sheet name="4.13." sheetId="27" r:id="rId27"/>
    <sheet name="4.14." sheetId="28" r:id="rId28"/>
    <sheet name="5.1." sheetId="29" r:id="rId29"/>
    <sheet name="5.2." sheetId="30" r:id="rId30"/>
    <sheet name="6.1." sheetId="31" r:id="rId31"/>
    <sheet name="6.2.1.1." sheetId="32" r:id="rId32"/>
    <sheet name="6.2.1.2." sheetId="33" r:id="rId33"/>
    <sheet name="6.2.1.3." sheetId="52" r:id="rId34"/>
    <sheet name="6.2.1.4." sheetId="35" r:id="rId35"/>
    <sheet name="6.2.1.5." sheetId="36" r:id="rId36"/>
    <sheet name="6.2.1.6." sheetId="37" r:id="rId37"/>
    <sheet name="6.2.1.7." sheetId="38" r:id="rId38"/>
    <sheet name="6.2.1.8." sheetId="39" r:id="rId39"/>
    <sheet name="6.2.1.9." sheetId="40" r:id="rId40"/>
    <sheet name="6.2.1.10." sheetId="53" r:id="rId41"/>
    <sheet name="6.2.1.11." sheetId="54" r:id="rId42"/>
    <sheet name="6.2.1.12." sheetId="55" r:id="rId43"/>
    <sheet name="6.2.1.13." sheetId="56" r:id="rId44"/>
    <sheet name="6.2.2.1." sheetId="57" r:id="rId45"/>
    <sheet name="6.2.2.2." sheetId="58" r:id="rId46"/>
    <sheet name="6.2.2.3." sheetId="59" r:id="rId47"/>
    <sheet name="6.2.2.4." sheetId="60" r:id="rId48"/>
    <sheet name="6.2.2.5." sheetId="61" r:id="rId49"/>
    <sheet name="6.2.2.6." sheetId="62" r:id="rId50"/>
    <sheet name="6.2.2.7." sheetId="63" r:id="rId51"/>
    <sheet name="6.2.2.8." sheetId="64" r:id="rId52"/>
    <sheet name="6.2.2.9." sheetId="65" r:id="rId53"/>
    <sheet name="6.2.2.10." sheetId="66" r:id="rId54"/>
    <sheet name="6.2.2.11." sheetId="67" r:id="rId55"/>
    <sheet name="6.2.2.12." sheetId="68" r:id="rId56"/>
    <sheet name="6.2.2.13." sheetId="69" r:id="rId57"/>
    <sheet name="6.2.2.14." sheetId="70" r:id="rId58"/>
    <sheet name="6.2.2.15." sheetId="71" r:id="rId59"/>
    <sheet name="6.2.3.1." sheetId="41" r:id="rId60"/>
    <sheet name="6.2.3.2.1." sheetId="42" r:id="rId61"/>
    <sheet name="6.2.3.2.2." sheetId="43" r:id="rId62"/>
    <sheet name="6.2.3.2.3." sheetId="44" r:id="rId63"/>
    <sheet name="6.2.3.2.4." sheetId="45" r:id="rId64"/>
    <sheet name="6.2.3.3.1." sheetId="79" r:id="rId65"/>
    <sheet name="6.2.3.3.2." sheetId="80" r:id="rId66"/>
    <sheet name="6.2.3.3.3." sheetId="81" r:id="rId67"/>
    <sheet name="6.2.3.4.1." sheetId="82" r:id="rId68"/>
    <sheet name="6.2.3.4.2." sheetId="83" r:id="rId69"/>
    <sheet name="6.2.3.4.3." sheetId="84" r:id="rId70"/>
    <sheet name="6.2.3.4.4." sheetId="85" r:id="rId71"/>
    <sheet name="7.1." sheetId="46" r:id="rId72"/>
    <sheet name="7.2." sheetId="47" r:id="rId73"/>
    <sheet name="7.3." sheetId="48" r:id="rId74"/>
    <sheet name="8.1." sheetId="49" r:id="rId75"/>
    <sheet name="8.2." sheetId="50" r:id="rId76"/>
    <sheet name="8.3." sheetId="51" r:id="rId77"/>
    <sheet name="9.8." sheetId="176" r:id="rId78"/>
    <sheet name="12.1.3.3.1." sheetId="72" r:id="rId79"/>
    <sheet name="12.1.3.3.2." sheetId="73" r:id="rId80"/>
    <sheet name="12.3." sheetId="74" r:id="rId81"/>
    <sheet name="20." sheetId="75" r:id="rId82"/>
    <sheet name="22.1." sheetId="177" r:id="rId83"/>
    <sheet name="22.2." sheetId="178" r:id="rId84"/>
    <sheet name="26.1.1." sheetId="76" r:id="rId85"/>
    <sheet name="26.1.2." sheetId="77" r:id="rId86"/>
    <sheet name="26.2." sheetId="78" r:id="rId87"/>
    <sheet name="26.3." sheetId="34" r:id="rId88"/>
    <sheet name="27.1.1." sheetId="99" r:id="rId89"/>
    <sheet name="27.1.2." sheetId="100" r:id="rId90"/>
    <sheet name="27.2.1." sheetId="101" r:id="rId91"/>
    <sheet name="27.2.2." sheetId="102" r:id="rId92"/>
    <sheet name="27.3." sheetId="103" r:id="rId93"/>
    <sheet name="27.4." sheetId="104" r:id="rId94"/>
    <sheet name="27.5." sheetId="105" r:id="rId95"/>
    <sheet name="27.6." sheetId="106" r:id="rId96"/>
    <sheet name="27.7." sheetId="107" r:id="rId97"/>
    <sheet name="27.8." sheetId="108" r:id="rId98"/>
    <sheet name="27.9." sheetId="109" r:id="rId99"/>
    <sheet name="27.10." sheetId="90" r:id="rId100"/>
    <sheet name="27.11." sheetId="91" r:id="rId101"/>
    <sheet name="27.12." sheetId="92" r:id="rId102"/>
    <sheet name="27.13." sheetId="93" r:id="rId103"/>
    <sheet name="27.14." sheetId="94" r:id="rId104"/>
    <sheet name="27.15." sheetId="95" r:id="rId105"/>
    <sheet name="27.16." sheetId="96" r:id="rId106"/>
    <sheet name="27.17." sheetId="97" r:id="rId107"/>
    <sheet name="27.18." sheetId="98" r:id="rId108"/>
    <sheet name="28.1." sheetId="88" r:id="rId109"/>
    <sheet name="28.2." sheetId="89" r:id="rId110"/>
    <sheet name="28.3." sheetId="87" r:id="rId111"/>
    <sheet name="29.1." sheetId="110" r:id="rId112"/>
    <sheet name="29.2." sheetId="111" r:id="rId113"/>
    <sheet name="29.3." sheetId="112" r:id="rId114"/>
    <sheet name="30." sheetId="113" r:id="rId115"/>
    <sheet name="31.1.1." sheetId="114" r:id="rId116"/>
    <sheet name="31.1.2." sheetId="115" r:id="rId117"/>
    <sheet name="31.2.1." sheetId="116" r:id="rId118"/>
    <sheet name="31.2.2." sheetId="117" r:id="rId119"/>
    <sheet name="31.2.3." sheetId="118" r:id="rId120"/>
    <sheet name="31.2.4." sheetId="119" r:id="rId121"/>
    <sheet name="32." sheetId="120" r:id="rId122"/>
    <sheet name="33." sheetId="121" r:id="rId123"/>
    <sheet name="34." sheetId="122" r:id="rId124"/>
    <sheet name="63." sheetId="123" r:id="rId125"/>
    <sheet name="64." sheetId="124" r:id="rId126"/>
    <sheet name="65." sheetId="125" r:id="rId127"/>
    <sheet name="66.1." sheetId="126" r:id="rId128"/>
    <sheet name="66.2." sheetId="127" r:id="rId129"/>
    <sheet name="66.3." sheetId="128" r:id="rId130"/>
    <sheet name="68.1.1." sheetId="129" r:id="rId131"/>
    <sheet name="68.1.2." sheetId="130" r:id="rId132"/>
    <sheet name="68.1.3." sheetId="131" r:id="rId133"/>
    <sheet name="68.1.4." sheetId="132" r:id="rId134"/>
    <sheet name="68.1.5." sheetId="133" r:id="rId135"/>
    <sheet name="68.1.6." sheetId="134" r:id="rId136"/>
    <sheet name="68.1.7." sheetId="135" r:id="rId137"/>
    <sheet name="68.1.8." sheetId="136" r:id="rId138"/>
    <sheet name="68.2.1." sheetId="137" r:id="rId139"/>
    <sheet name="68.2.2." sheetId="138" r:id="rId140"/>
    <sheet name="68.2.3." sheetId="139" r:id="rId141"/>
    <sheet name="68.2.4." sheetId="140" r:id="rId142"/>
    <sheet name="68.2.5." sheetId="141" r:id="rId143"/>
    <sheet name="68.2.6." sheetId="142" r:id="rId144"/>
    <sheet name="68.2.7." sheetId="143" r:id="rId145"/>
    <sheet name="68.2.8." sheetId="144" r:id="rId146"/>
    <sheet name="69." sheetId="145" r:id="rId147"/>
    <sheet name="70.1." sheetId="146" r:id="rId148"/>
    <sheet name="70.2." sheetId="147" r:id="rId149"/>
    <sheet name="70.3." sheetId="148" r:id="rId150"/>
    <sheet name="71.1.1." sheetId="149" r:id="rId151"/>
    <sheet name="71.1.2." sheetId="86" r:id="rId152"/>
    <sheet name="71.1.3." sheetId="150" r:id="rId153"/>
    <sheet name="71.1.4." sheetId="151" r:id="rId154"/>
    <sheet name="71.1.5." sheetId="152" r:id="rId155"/>
    <sheet name="71.1.6." sheetId="153" r:id="rId156"/>
    <sheet name="71.1.7." sheetId="154" r:id="rId157"/>
    <sheet name="71.1.8." sheetId="155" r:id="rId158"/>
    <sheet name="71.2.1." sheetId="156" r:id="rId159"/>
    <sheet name="71.2.2." sheetId="157" r:id="rId160"/>
    <sheet name="71.2.3." sheetId="158" r:id="rId161"/>
    <sheet name="71.2.4." sheetId="159" r:id="rId162"/>
    <sheet name="71.2.5." sheetId="160" r:id="rId163"/>
    <sheet name="71.2.6." sheetId="161" r:id="rId164"/>
    <sheet name="71.2.7." sheetId="162" r:id="rId165"/>
    <sheet name="71.2.8." sheetId="163" r:id="rId166"/>
    <sheet name="72.1." sheetId="164" r:id="rId167"/>
    <sheet name="72.2." sheetId="165" r:id="rId168"/>
    <sheet name="72.3." sheetId="166" r:id="rId169"/>
    <sheet name="72.4." sheetId="167" r:id="rId170"/>
    <sheet name="72.5." sheetId="168" r:id="rId171"/>
    <sheet name="72.6." sheetId="169" r:id="rId172"/>
    <sheet name="72.7." sheetId="170" r:id="rId173"/>
    <sheet name="72.8." sheetId="171" r:id="rId174"/>
    <sheet name="73." sheetId="172" r:id="rId175"/>
    <sheet name="74." sheetId="173" r:id="rId176"/>
    <sheet name="97." sheetId="175" r:id="rId17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51" i="17" l="1"/>
  <c r="C57" i="15"/>
  <c r="C57" i="14"/>
  <c r="C57" i="13"/>
  <c r="C57" i="12"/>
  <c r="C57" i="1"/>
  <c r="C57" i="10"/>
  <c r="C35" i="29"/>
  <c r="C35" i="30"/>
  <c r="C33" i="32"/>
  <c r="C33" i="57"/>
  <c r="C19" i="2"/>
  <c r="C10" i="2"/>
  <c r="C9" i="2"/>
  <c r="C11" i="2" s="1"/>
  <c r="C20" i="2" s="1"/>
  <c r="C22" i="2" s="1"/>
  <c r="C24" i="2" s="1"/>
  <c r="C19" i="9"/>
  <c r="C10" i="9"/>
  <c r="C11" i="9" s="1"/>
  <c r="C9" i="9"/>
  <c r="C29" i="6"/>
  <c r="C30" i="6"/>
  <c r="C17" i="22"/>
  <c r="C11" i="24"/>
  <c r="C12" i="41"/>
  <c r="C13" i="42"/>
  <c r="C25" i="57"/>
  <c r="C14" i="57"/>
  <c r="C13" i="57"/>
  <c r="C12" i="57"/>
  <c r="C17" i="57" s="1"/>
  <c r="C18" i="57" s="1"/>
  <c r="C25" i="32"/>
  <c r="C14" i="32"/>
  <c r="C13" i="32"/>
  <c r="C12" i="32"/>
  <c r="C17" i="32" s="1"/>
  <c r="C18" i="32" s="1"/>
  <c r="C26" i="32" s="1"/>
  <c r="C28" i="32" s="1"/>
  <c r="C30" i="32" s="1"/>
  <c r="C15" i="30"/>
  <c r="C10" i="6"/>
  <c r="C16" i="6"/>
  <c r="C11" i="74"/>
  <c r="C10" i="74"/>
  <c r="C12" i="178"/>
  <c r="C11" i="178"/>
  <c r="C14" i="177"/>
  <c r="C13" i="177"/>
  <c r="C23" i="178"/>
  <c r="C23" i="177"/>
  <c r="C30" i="177"/>
  <c r="C29" i="177"/>
  <c r="C19" i="177"/>
  <c r="C21" i="177"/>
  <c r="C20" i="177"/>
  <c r="C17" i="177"/>
  <c r="C16" i="177"/>
  <c r="C27" i="177"/>
  <c r="C11" i="177"/>
  <c r="C38" i="177"/>
  <c r="C19" i="73"/>
  <c r="C17" i="73"/>
  <c r="C13" i="73"/>
  <c r="C28" i="73"/>
  <c r="C26" i="57" l="1"/>
  <c r="C28" i="57" s="1"/>
  <c r="C30" i="57" s="1"/>
  <c r="C20" i="9"/>
  <c r="C22" i="9" s="1"/>
  <c r="C24" i="9" s="1"/>
  <c r="C31" i="177"/>
  <c r="C39" i="177" s="1"/>
  <c r="C41" i="177" s="1"/>
  <c r="C43" i="177" s="1"/>
  <c r="C16" i="178"/>
  <c r="C24" i="178" s="1"/>
  <c r="C26" i="178" s="1"/>
  <c r="C28" i="178" s="1"/>
  <c r="C11" i="73" l="1"/>
  <c r="C15" i="73"/>
  <c r="C14" i="73"/>
  <c r="C33" i="72"/>
  <c r="C32" i="72"/>
  <c r="C23" i="72"/>
  <c r="C11" i="72"/>
  <c r="C17" i="72"/>
  <c r="C13" i="72"/>
  <c r="C11" i="31"/>
  <c r="C26" i="46"/>
  <c r="C17" i="46"/>
  <c r="C11" i="46"/>
  <c r="C14" i="46" s="1"/>
  <c r="C18" i="46" s="1"/>
  <c r="C27" i="46" s="1"/>
  <c r="C29" i="46" s="1"/>
  <c r="C31" i="46" s="1"/>
  <c r="C12" i="71"/>
  <c r="C12" i="70"/>
  <c r="C12" i="69"/>
  <c r="C12" i="68"/>
  <c r="C12" i="67"/>
  <c r="C12" i="66"/>
  <c r="C12" i="65"/>
  <c r="C12" i="64"/>
  <c r="C12" i="63"/>
  <c r="C12" i="62"/>
  <c r="C12" i="61"/>
  <c r="C12" i="60"/>
  <c r="C17" i="60" s="1"/>
  <c r="C18" i="60" s="1"/>
  <c r="C12" i="59"/>
  <c r="C25" i="71"/>
  <c r="C14" i="71"/>
  <c r="C13" i="71"/>
  <c r="C17" i="71"/>
  <c r="C18" i="71" s="1"/>
  <c r="C25" i="70"/>
  <c r="C14" i="70"/>
  <c r="C13" i="70"/>
  <c r="C17" i="70"/>
  <c r="C18" i="70" s="1"/>
  <c r="C26" i="70" s="1"/>
  <c r="C28" i="70" s="1"/>
  <c r="C30" i="70" s="1"/>
  <c r="C25" i="69"/>
  <c r="C14" i="69"/>
  <c r="C13" i="69"/>
  <c r="C17" i="69"/>
  <c r="C18" i="69" s="1"/>
  <c r="C25" i="68"/>
  <c r="C14" i="68"/>
  <c r="C13" i="68"/>
  <c r="C17" i="68"/>
  <c r="C18" i="68" s="1"/>
  <c r="C25" i="67"/>
  <c r="C14" i="67"/>
  <c r="C13" i="67"/>
  <c r="C17" i="67"/>
  <c r="C18" i="67" s="1"/>
  <c r="C25" i="66"/>
  <c r="C14" i="66"/>
  <c r="C13" i="66"/>
  <c r="C17" i="66"/>
  <c r="C18" i="66" s="1"/>
  <c r="C26" i="66" s="1"/>
  <c r="C28" i="66" s="1"/>
  <c r="C30" i="66" s="1"/>
  <c r="C25" i="65"/>
  <c r="C14" i="65"/>
  <c r="C13" i="65"/>
  <c r="C17" i="65"/>
  <c r="C18" i="65" s="1"/>
  <c r="C25" i="64"/>
  <c r="C14" i="64"/>
  <c r="C13" i="64"/>
  <c r="C17" i="64"/>
  <c r="C18" i="64" s="1"/>
  <c r="C26" i="64" s="1"/>
  <c r="C28" i="64" s="1"/>
  <c r="C30" i="64" s="1"/>
  <c r="C25" i="63"/>
  <c r="C14" i="63"/>
  <c r="C13" i="63"/>
  <c r="C17" i="63"/>
  <c r="C18" i="63" s="1"/>
  <c r="C26" i="63" s="1"/>
  <c r="C28" i="63" s="1"/>
  <c r="C30" i="63" s="1"/>
  <c r="C25" i="62"/>
  <c r="C14" i="62"/>
  <c r="C13" i="62"/>
  <c r="C17" i="62"/>
  <c r="C18" i="62" s="1"/>
  <c r="C26" i="62" s="1"/>
  <c r="C28" i="62" s="1"/>
  <c r="C30" i="62" s="1"/>
  <c r="C25" i="61"/>
  <c r="C14" i="61"/>
  <c r="C13" i="61"/>
  <c r="C17" i="61"/>
  <c r="C18" i="61" s="1"/>
  <c r="C25" i="60"/>
  <c r="C14" i="60"/>
  <c r="C13" i="60"/>
  <c r="C25" i="59"/>
  <c r="C14" i="59"/>
  <c r="C13" i="59"/>
  <c r="C17" i="59"/>
  <c r="C18" i="59" s="1"/>
  <c r="C26" i="59" s="1"/>
  <c r="C28" i="59" s="1"/>
  <c r="C30" i="59" s="1"/>
  <c r="C12" i="58"/>
  <c r="C25" i="58"/>
  <c r="C14" i="58"/>
  <c r="C13" i="58"/>
  <c r="C17" i="58"/>
  <c r="C18" i="58" s="1"/>
  <c r="C12" i="56"/>
  <c r="C17" i="56" s="1"/>
  <c r="C18" i="56" s="1"/>
  <c r="C12" i="55"/>
  <c r="C17" i="55" s="1"/>
  <c r="C18" i="55" s="1"/>
  <c r="C12" i="54"/>
  <c r="C17" i="54"/>
  <c r="C18" i="54" s="1"/>
  <c r="C12" i="53"/>
  <c r="C12" i="40"/>
  <c r="C12" i="39"/>
  <c r="C25" i="56"/>
  <c r="C14" i="56"/>
  <c r="C13" i="56"/>
  <c r="C25" i="55"/>
  <c r="C14" i="55"/>
  <c r="C13" i="55"/>
  <c r="C25" i="54"/>
  <c r="C14" i="54"/>
  <c r="C13" i="54"/>
  <c r="C25" i="53"/>
  <c r="C14" i="53"/>
  <c r="C13" i="53"/>
  <c r="C17" i="53"/>
  <c r="C18" i="53" s="1"/>
  <c r="C25" i="40"/>
  <c r="C14" i="40"/>
  <c r="C13" i="40"/>
  <c r="C17" i="40"/>
  <c r="C18" i="40" s="1"/>
  <c r="C25" i="39"/>
  <c r="C14" i="39"/>
  <c r="C13" i="39"/>
  <c r="C17" i="39"/>
  <c r="C18" i="39" s="1"/>
  <c r="C12" i="38"/>
  <c r="C12" i="37"/>
  <c r="C12" i="36"/>
  <c r="C12" i="35"/>
  <c r="C12" i="52"/>
  <c r="C25" i="52"/>
  <c r="C25" i="33"/>
  <c r="C12" i="33"/>
  <c r="C24" i="42"/>
  <c r="C15" i="42"/>
  <c r="C14" i="42"/>
  <c r="C16" i="42" s="1"/>
  <c r="C17" i="42" s="1"/>
  <c r="C25" i="41"/>
  <c r="C14" i="41"/>
  <c r="C13" i="41"/>
  <c r="C17" i="41"/>
  <c r="C18" i="41" s="1"/>
  <c r="C25" i="38"/>
  <c r="C14" i="38"/>
  <c r="C13" i="38"/>
  <c r="C17" i="38"/>
  <c r="C18" i="38" s="1"/>
  <c r="C25" i="37"/>
  <c r="C14" i="37"/>
  <c r="C13" i="37"/>
  <c r="C17" i="37"/>
  <c r="C18" i="37" s="1"/>
  <c r="C25" i="36"/>
  <c r="C14" i="36"/>
  <c r="C13" i="36"/>
  <c r="C17" i="36"/>
  <c r="C18" i="36" s="1"/>
  <c r="C25" i="35"/>
  <c r="C14" i="35"/>
  <c r="C13" i="35"/>
  <c r="C17" i="35"/>
  <c r="C18" i="35" s="1"/>
  <c r="C26" i="41" l="1"/>
  <c r="C28" i="41" s="1"/>
  <c r="C30" i="41" s="1"/>
  <c r="C25" i="42"/>
  <c r="C27" i="42" s="1"/>
  <c r="C29" i="42" s="1"/>
  <c r="C20" i="73"/>
  <c r="C21" i="73" s="1"/>
  <c r="C29" i="73" s="1"/>
  <c r="C31" i="73" s="1"/>
  <c r="C33" i="73" s="1"/>
  <c r="C26" i="71"/>
  <c r="C28" i="71" s="1"/>
  <c r="C30" i="71" s="1"/>
  <c r="C26" i="69"/>
  <c r="C28" i="69" s="1"/>
  <c r="C30" i="69" s="1"/>
  <c r="C26" i="68"/>
  <c r="C28" i="68" s="1"/>
  <c r="C30" i="68" s="1"/>
  <c r="C26" i="67"/>
  <c r="C28" i="67" s="1"/>
  <c r="C30" i="67" s="1"/>
  <c r="C26" i="65"/>
  <c r="C28" i="65" s="1"/>
  <c r="C30" i="65" s="1"/>
  <c r="C26" i="61"/>
  <c r="C28" i="61" s="1"/>
  <c r="C30" i="61" s="1"/>
  <c r="C26" i="60"/>
  <c r="C28" i="60" s="1"/>
  <c r="C30" i="60" s="1"/>
  <c r="C26" i="58"/>
  <c r="C28" i="58" s="1"/>
  <c r="C30" i="58" s="1"/>
  <c r="C26" i="56"/>
  <c r="C28" i="56" s="1"/>
  <c r="C30" i="56" s="1"/>
  <c r="C26" i="55"/>
  <c r="C28" i="55" s="1"/>
  <c r="C30" i="55" s="1"/>
  <c r="C26" i="54"/>
  <c r="C28" i="54" s="1"/>
  <c r="C30" i="54" s="1"/>
  <c r="C26" i="53"/>
  <c r="C28" i="53" s="1"/>
  <c r="C30" i="53" s="1"/>
  <c r="C26" i="40"/>
  <c r="C28" i="40" s="1"/>
  <c r="C30" i="40" s="1"/>
  <c r="C26" i="39"/>
  <c r="C28" i="39" s="1"/>
  <c r="C30" i="39" s="1"/>
  <c r="C26" i="38"/>
  <c r="C28" i="38" s="1"/>
  <c r="C30" i="38" s="1"/>
  <c r="C26" i="37"/>
  <c r="C28" i="37" s="1"/>
  <c r="C30" i="37" s="1"/>
  <c r="C26" i="36"/>
  <c r="C28" i="36" s="1"/>
  <c r="C30" i="36" s="1"/>
  <c r="C26" i="35"/>
  <c r="C28" i="35" s="1"/>
  <c r="C30" i="35" s="1"/>
  <c r="C14" i="52"/>
  <c r="C13" i="52"/>
  <c r="C17" i="52"/>
  <c r="C18" i="52" s="1"/>
  <c r="C26" i="52" s="1"/>
  <c r="C28" i="52" s="1"/>
  <c r="C30" i="52" s="1"/>
  <c r="C14" i="33"/>
  <c r="C13" i="33"/>
  <c r="C17" i="33"/>
  <c r="C18" i="33" s="1"/>
  <c r="C26" i="33" s="1"/>
  <c r="C28" i="33" s="1"/>
  <c r="C30" i="33" s="1"/>
  <c r="C24" i="31" l="1"/>
  <c r="C14" i="31"/>
  <c r="C15" i="31" s="1"/>
  <c r="C25" i="31" s="1"/>
  <c r="C27" i="31" s="1"/>
  <c r="C29" i="31" s="1"/>
  <c r="C27" i="30"/>
  <c r="C14" i="30"/>
  <c r="C18" i="30" s="1"/>
  <c r="C11" i="30"/>
  <c r="C12" i="30" s="1"/>
  <c r="C11" i="29"/>
  <c r="C12" i="29" s="1"/>
  <c r="C14" i="29"/>
  <c r="C15" i="29"/>
  <c r="C27" i="29"/>
  <c r="C31" i="24"/>
  <c r="C21" i="24"/>
  <c r="C22" i="24" s="1"/>
  <c r="C19" i="24"/>
  <c r="C14" i="24"/>
  <c r="C34" i="28"/>
  <c r="C24" i="28"/>
  <c r="C25" i="28" s="1"/>
  <c r="C20" i="28"/>
  <c r="C17" i="28"/>
  <c r="C22" i="28" s="1"/>
  <c r="C11" i="28"/>
  <c r="C14" i="28" s="1"/>
  <c r="C26" i="28" s="1"/>
  <c r="C35" i="28" s="1"/>
  <c r="C37" i="28" s="1"/>
  <c r="C39" i="28" s="1"/>
  <c r="C14" i="6"/>
  <c r="C22" i="6" s="1"/>
  <c r="C20" i="6"/>
  <c r="C21" i="6" s="1"/>
  <c r="C18" i="6"/>
  <c r="C11" i="6"/>
  <c r="C33" i="22"/>
  <c r="C23" i="22"/>
  <c r="C24" i="22" s="1"/>
  <c r="C20" i="22"/>
  <c r="C21" i="22"/>
  <c r="C11" i="22"/>
  <c r="C14" i="22" s="1"/>
  <c r="C43" i="17"/>
  <c r="C33" i="17"/>
  <c r="C34" i="17" s="1"/>
  <c r="C30" i="17"/>
  <c r="C27" i="17"/>
  <c r="C24" i="17"/>
  <c r="C31" i="17" s="1"/>
  <c r="C21" i="17"/>
  <c r="C18" i="17"/>
  <c r="C13" i="17"/>
  <c r="C12" i="17"/>
  <c r="C11" i="17"/>
  <c r="C16" i="17" s="1"/>
  <c r="C35" i="17" s="1"/>
  <c r="C44" i="17" s="1"/>
  <c r="C46" i="17" s="1"/>
  <c r="C48" i="17" s="1"/>
  <c r="C49" i="15"/>
  <c r="C39" i="15"/>
  <c r="C40" i="15" s="1"/>
  <c r="C36" i="15"/>
  <c r="C34" i="15"/>
  <c r="C31" i="15"/>
  <c r="C28" i="15"/>
  <c r="C25" i="15"/>
  <c r="C19" i="15"/>
  <c r="C22" i="15" s="1"/>
  <c r="C14" i="15"/>
  <c r="C13" i="15"/>
  <c r="C12" i="15"/>
  <c r="C17" i="15" s="1"/>
  <c r="C49" i="14"/>
  <c r="C39" i="14"/>
  <c r="C40" i="14" s="1"/>
  <c r="C36" i="14"/>
  <c r="C34" i="14"/>
  <c r="C31" i="14"/>
  <c r="C28" i="14"/>
  <c r="C37" i="14" s="1"/>
  <c r="C25" i="14"/>
  <c r="C19" i="14"/>
  <c r="C22" i="14" s="1"/>
  <c r="C14" i="14"/>
  <c r="C13" i="14"/>
  <c r="C12" i="14"/>
  <c r="C17" i="14" s="1"/>
  <c r="C49" i="10"/>
  <c r="C39" i="10"/>
  <c r="C40" i="10" s="1"/>
  <c r="C36" i="10"/>
  <c r="C34" i="10"/>
  <c r="C31" i="10"/>
  <c r="C25" i="10"/>
  <c r="C19" i="10"/>
  <c r="C22" i="10" s="1"/>
  <c r="C14" i="10"/>
  <c r="C13" i="10"/>
  <c r="C12" i="10"/>
  <c r="C18" i="29" l="1"/>
  <c r="C25" i="22"/>
  <c r="C34" i="22" s="1"/>
  <c r="C36" i="22" s="1"/>
  <c r="C38" i="22" s="1"/>
  <c r="C23" i="24"/>
  <c r="C32" i="24" s="1"/>
  <c r="C34" i="24" s="1"/>
  <c r="C36" i="24" s="1"/>
  <c r="C19" i="29"/>
  <c r="C28" i="29" s="1"/>
  <c r="C30" i="29" s="1"/>
  <c r="C32" i="29" s="1"/>
  <c r="C32" i="6"/>
  <c r="C34" i="6" s="1"/>
  <c r="C37" i="15"/>
  <c r="C41" i="15"/>
  <c r="C50" i="15" s="1"/>
  <c r="C52" i="15" s="1"/>
  <c r="C54" i="15" s="1"/>
  <c r="C41" i="14"/>
  <c r="C50" i="14" s="1"/>
  <c r="C52" i="14" s="1"/>
  <c r="C54" i="14" s="1"/>
  <c r="C37" i="10"/>
  <c r="C17" i="10"/>
  <c r="C41" i="10" s="1"/>
  <c r="C50" i="10" s="1"/>
  <c r="C52" i="10" s="1"/>
  <c r="C54" i="10" s="1"/>
  <c r="C19" i="30"/>
  <c r="C28" i="30" s="1"/>
  <c r="C30" i="30" s="1"/>
  <c r="C32" i="30" s="1"/>
  <c r="C49" i="13" l="1"/>
  <c r="C39" i="13"/>
  <c r="C40" i="13" s="1"/>
  <c r="C36" i="13"/>
  <c r="C34" i="13"/>
  <c r="C31" i="13"/>
  <c r="C28" i="13"/>
  <c r="C37" i="13" s="1"/>
  <c r="C25" i="13"/>
  <c r="C19" i="13"/>
  <c r="C22" i="13" s="1"/>
  <c r="C14" i="13"/>
  <c r="C13" i="13"/>
  <c r="C12" i="13"/>
  <c r="C17" i="13" s="1"/>
  <c r="C41" i="13" s="1"/>
  <c r="C50" i="13" s="1"/>
  <c r="C52" i="13" s="1"/>
  <c r="C54" i="13" s="1"/>
  <c r="C49" i="12"/>
  <c r="C39" i="12"/>
  <c r="C40" i="12" s="1"/>
  <c r="C36" i="12"/>
  <c r="C34" i="12"/>
  <c r="C31" i="12"/>
  <c r="C28" i="12"/>
  <c r="C25" i="12"/>
  <c r="C19" i="12"/>
  <c r="C22" i="12" s="1"/>
  <c r="C14" i="12"/>
  <c r="C17" i="12" s="1"/>
  <c r="C13" i="12"/>
  <c r="C12" i="12"/>
  <c r="C37" i="12" l="1"/>
  <c r="C41" i="12" s="1"/>
  <c r="C50" i="12" s="1"/>
  <c r="C52" i="12" s="1"/>
  <c r="C54" i="12" s="1"/>
  <c r="C32" i="11"/>
  <c r="C23" i="11"/>
  <c r="C22" i="11"/>
  <c r="C18" i="11"/>
  <c r="C20" i="11" s="1"/>
  <c r="C12" i="11"/>
  <c r="C15" i="11" s="1"/>
  <c r="C24" i="11" s="1"/>
  <c r="C33" i="11" s="1"/>
  <c r="C35" i="11" s="1"/>
  <c r="C37" i="11" s="1"/>
  <c r="C49" i="1"/>
  <c r="C39" i="1"/>
  <c r="C40" i="1" s="1"/>
  <c r="C36" i="1"/>
  <c r="C34" i="1"/>
  <c r="C31" i="1"/>
  <c r="C25" i="1"/>
  <c r="C37" i="1" s="1"/>
  <c r="C22" i="1"/>
  <c r="C19" i="1"/>
  <c r="C14" i="1"/>
  <c r="C13" i="1"/>
  <c r="C12" i="1"/>
  <c r="C17" i="1" s="1"/>
  <c r="C41" i="1" l="1"/>
  <c r="C50" i="1" s="1"/>
  <c r="C52" i="1" s="1"/>
  <c r="C54" i="1" s="1"/>
  <c r="C15" i="175"/>
  <c r="C18" i="175"/>
  <c r="C20" i="175" s="1"/>
  <c r="C24" i="173"/>
  <c r="C19" i="173"/>
  <c r="C20" i="173"/>
  <c r="C21" i="173"/>
  <c r="C22" i="173"/>
  <c r="C23" i="173"/>
  <c r="C18" i="173"/>
  <c r="C12" i="173"/>
  <c r="C13" i="173"/>
  <c r="C14" i="173"/>
  <c r="C15" i="173"/>
  <c r="C16" i="173"/>
  <c r="C11" i="173"/>
  <c r="C10" i="173"/>
  <c r="C24" i="172"/>
  <c r="C19" i="172"/>
  <c r="C20" i="172"/>
  <c r="C21" i="172"/>
  <c r="C22" i="172"/>
  <c r="C23" i="172"/>
  <c r="C18" i="172"/>
  <c r="C12" i="172"/>
  <c r="C13" i="172"/>
  <c r="C14" i="172"/>
  <c r="C15" i="172"/>
  <c r="C16" i="172"/>
  <c r="C11" i="172"/>
  <c r="C26" i="172" s="1"/>
  <c r="C10" i="172"/>
  <c r="C13" i="171"/>
  <c r="C14" i="171"/>
  <c r="C11" i="171"/>
  <c r="C14" i="170"/>
  <c r="C13" i="170"/>
  <c r="C14" i="169"/>
  <c r="C13" i="169"/>
  <c r="C14" i="168"/>
  <c r="C13" i="168"/>
  <c r="C14" i="167"/>
  <c r="C13" i="167"/>
  <c r="C10" i="166"/>
  <c r="C12" i="166" s="1"/>
  <c r="C11" i="170"/>
  <c r="C11" i="169"/>
  <c r="C11" i="168"/>
  <c r="C16" i="168" s="1"/>
  <c r="C11" i="167"/>
  <c r="C16" i="165"/>
  <c r="C14" i="165"/>
  <c r="C13" i="165"/>
  <c r="C11" i="165"/>
  <c r="C18" i="164"/>
  <c r="C13" i="164"/>
  <c r="C14" i="164"/>
  <c r="C15" i="164"/>
  <c r="C16" i="164"/>
  <c r="C17" i="164"/>
  <c r="C12" i="164"/>
  <c r="C11" i="164"/>
  <c r="C20" i="164" s="1"/>
  <c r="C14" i="163"/>
  <c r="C13" i="163"/>
  <c r="C13" i="155"/>
  <c r="C14" i="155"/>
  <c r="C11" i="155"/>
  <c r="C11" i="163"/>
  <c r="C14" i="162"/>
  <c r="C13" i="162"/>
  <c r="C11" i="162"/>
  <c r="C14" i="161"/>
  <c r="C13" i="161"/>
  <c r="C11" i="161"/>
  <c r="C13" i="160"/>
  <c r="C13" i="159"/>
  <c r="C16" i="158"/>
  <c r="C14" i="158"/>
  <c r="C13" i="158"/>
  <c r="C11" i="158"/>
  <c r="C13" i="157"/>
  <c r="C11" i="157"/>
  <c r="C18" i="156"/>
  <c r="C17" i="156"/>
  <c r="C12" i="156"/>
  <c r="C13" i="156"/>
  <c r="C14" i="156"/>
  <c r="C15" i="156"/>
  <c r="C16" i="156"/>
  <c r="C11" i="156"/>
  <c r="C26" i="173" l="1"/>
  <c r="C27" i="173"/>
  <c r="C28" i="173" s="1"/>
  <c r="C27" i="172"/>
  <c r="C28" i="172" s="1"/>
  <c r="C16" i="171"/>
  <c r="C17" i="171"/>
  <c r="C18" i="171" s="1"/>
  <c r="C16" i="170"/>
  <c r="C17" i="170" s="1"/>
  <c r="C18" i="170" s="1"/>
  <c r="C16" i="169"/>
  <c r="C16" i="167"/>
  <c r="C17" i="167" s="1"/>
  <c r="C18" i="167" s="1"/>
  <c r="C17" i="169"/>
  <c r="C18" i="169" s="1"/>
  <c r="C17" i="168"/>
  <c r="C18" i="168" s="1"/>
  <c r="C13" i="166"/>
  <c r="C14" i="166" s="1"/>
  <c r="C17" i="165"/>
  <c r="C18" i="165" s="1"/>
  <c r="C21" i="164"/>
  <c r="C22" i="164" s="1"/>
  <c r="C30" i="173" l="1"/>
  <c r="C31" i="173" s="1"/>
  <c r="C33" i="173" s="1"/>
  <c r="C35" i="173" s="1"/>
  <c r="C30" i="172"/>
  <c r="C31" i="172" s="1"/>
  <c r="C33" i="172" s="1"/>
  <c r="C35" i="172" s="1"/>
  <c r="C20" i="171"/>
  <c r="C21" i="171" s="1"/>
  <c r="C23" i="171" s="1"/>
  <c r="C25" i="171" s="1"/>
  <c r="C20" i="170"/>
  <c r="C21" i="170" s="1"/>
  <c r="C23" i="170" s="1"/>
  <c r="C25" i="170" s="1"/>
  <c r="C20" i="169"/>
  <c r="C21" i="169" s="1"/>
  <c r="C23" i="169" s="1"/>
  <c r="C25" i="169" s="1"/>
  <c r="C20" i="168"/>
  <c r="C21" i="168" s="1"/>
  <c r="C23" i="168" s="1"/>
  <c r="C25" i="168" s="1"/>
  <c r="C20" i="167"/>
  <c r="C21" i="167"/>
  <c r="C23" i="167" s="1"/>
  <c r="C25" i="167" s="1"/>
  <c r="C16" i="166"/>
  <c r="C17" i="166" s="1"/>
  <c r="C19" i="166" s="1"/>
  <c r="C21" i="166" s="1"/>
  <c r="C20" i="165"/>
  <c r="C21" i="165" s="1"/>
  <c r="C23" i="165" s="1"/>
  <c r="C25" i="165" s="1"/>
  <c r="C24" i="164"/>
  <c r="C25" i="164" s="1"/>
  <c r="C27" i="164" s="1"/>
  <c r="C29" i="164" s="1"/>
  <c r="C16" i="163" l="1"/>
  <c r="C17" i="163" s="1"/>
  <c r="C16" i="162"/>
  <c r="C17" i="162" s="1"/>
  <c r="C16" i="161"/>
  <c r="C17" i="161" s="1"/>
  <c r="C15" i="160"/>
  <c r="C16" i="160" s="1"/>
  <c r="C11" i="160"/>
  <c r="C11" i="159"/>
  <c r="C15" i="159" s="1"/>
  <c r="C17" i="158"/>
  <c r="C14" i="157"/>
  <c r="C16" i="157"/>
  <c r="C20" i="156"/>
  <c r="C16" i="155"/>
  <c r="C13" i="154"/>
  <c r="C14" i="154"/>
  <c r="C11" i="154"/>
  <c r="C14" i="153"/>
  <c r="C13" i="153"/>
  <c r="C16" i="153" s="1"/>
  <c r="C11" i="153"/>
  <c r="C13" i="152"/>
  <c r="C16" i="152" s="1"/>
  <c r="C14" i="152"/>
  <c r="C14" i="151"/>
  <c r="C16" i="151" s="1"/>
  <c r="C13" i="151"/>
  <c r="C10" i="150"/>
  <c r="C14" i="86"/>
  <c r="C13" i="86"/>
  <c r="C20" i="149"/>
  <c r="C18" i="149"/>
  <c r="C13" i="149"/>
  <c r="C14" i="149"/>
  <c r="C15" i="149"/>
  <c r="C16" i="149"/>
  <c r="C17" i="149"/>
  <c r="C12" i="149"/>
  <c r="C11" i="149"/>
  <c r="C11" i="152"/>
  <c r="C11" i="151"/>
  <c r="C12" i="150"/>
  <c r="C11" i="86"/>
  <c r="C16" i="86" s="1"/>
  <c r="C18" i="148"/>
  <c r="C13" i="148"/>
  <c r="C14" i="148"/>
  <c r="C15" i="148"/>
  <c r="C16" i="148"/>
  <c r="C17" i="148"/>
  <c r="C20" i="148"/>
  <c r="C12" i="148"/>
  <c r="C11" i="148"/>
  <c r="C21" i="147"/>
  <c r="C11" i="147"/>
  <c r="C18" i="147"/>
  <c r="C19" i="147"/>
  <c r="C13" i="147"/>
  <c r="C14" i="147"/>
  <c r="C15" i="147"/>
  <c r="C16" i="147"/>
  <c r="C17" i="147"/>
  <c r="C12" i="147"/>
  <c r="C18" i="146"/>
  <c r="C16" i="146"/>
  <c r="C17" i="146"/>
  <c r="C13" i="146"/>
  <c r="C14" i="146"/>
  <c r="C15" i="146"/>
  <c r="C12" i="146"/>
  <c r="C11" i="146"/>
  <c r="C18" i="145"/>
  <c r="C16" i="145"/>
  <c r="C15" i="145"/>
  <c r="C14" i="145"/>
  <c r="C12" i="145"/>
  <c r="C11" i="145"/>
  <c r="C10" i="145"/>
  <c r="C16" i="159" l="1"/>
  <c r="C17" i="159" s="1"/>
  <c r="C18" i="162"/>
  <c r="C18" i="161"/>
  <c r="C17" i="160"/>
  <c r="C18" i="158"/>
  <c r="C18" i="163"/>
  <c r="C17" i="157"/>
  <c r="C18" i="157" s="1"/>
  <c r="C21" i="156"/>
  <c r="C22" i="156" s="1"/>
  <c r="C17" i="155"/>
  <c r="C18" i="155" s="1"/>
  <c r="C16" i="154"/>
  <c r="C17" i="154"/>
  <c r="C18" i="154" s="1"/>
  <c r="C17" i="153"/>
  <c r="C18" i="153" s="1"/>
  <c r="C17" i="152"/>
  <c r="C18" i="152" s="1"/>
  <c r="C17" i="151"/>
  <c r="C18" i="151" s="1"/>
  <c r="C13" i="150"/>
  <c r="C14" i="150" s="1"/>
  <c r="C17" i="86"/>
  <c r="C18" i="86" s="1"/>
  <c r="C21" i="149"/>
  <c r="C22" i="149" s="1"/>
  <c r="C21" i="148"/>
  <c r="C22" i="148" s="1"/>
  <c r="C22" i="147"/>
  <c r="C23" i="147" s="1"/>
  <c r="C20" i="146"/>
  <c r="C21" i="146" s="1"/>
  <c r="C22" i="146" s="1"/>
  <c r="C19" i="145"/>
  <c r="C20" i="145" s="1"/>
  <c r="C19" i="159" l="1"/>
  <c r="C20" i="159"/>
  <c r="C22" i="159" s="1"/>
  <c r="C24" i="159" s="1"/>
  <c r="C20" i="163"/>
  <c r="C21" i="163"/>
  <c r="C23" i="163" s="1"/>
  <c r="C25" i="163" s="1"/>
  <c r="C20" i="162"/>
  <c r="C21" i="162" s="1"/>
  <c r="C23" i="162" s="1"/>
  <c r="C25" i="162" s="1"/>
  <c r="C19" i="160"/>
  <c r="C20" i="160" s="1"/>
  <c r="C22" i="160" s="1"/>
  <c r="C24" i="160" s="1"/>
  <c r="C20" i="158"/>
  <c r="C21" i="158" s="1"/>
  <c r="C23" i="158" s="1"/>
  <c r="C25" i="158" s="1"/>
  <c r="C20" i="161"/>
  <c r="C21" i="161"/>
  <c r="C23" i="161" s="1"/>
  <c r="C25" i="161" s="1"/>
  <c r="C20" i="157"/>
  <c r="C21" i="157" s="1"/>
  <c r="C23" i="157" s="1"/>
  <c r="C25" i="157" s="1"/>
  <c r="C24" i="156"/>
  <c r="C25" i="156" s="1"/>
  <c r="C27" i="156" s="1"/>
  <c r="C29" i="156" s="1"/>
  <c r="C20" i="155"/>
  <c r="C21" i="155" s="1"/>
  <c r="C23" i="155" s="1"/>
  <c r="C25" i="155" s="1"/>
  <c r="C20" i="154"/>
  <c r="C21" i="154" s="1"/>
  <c r="C23" i="154" s="1"/>
  <c r="C25" i="154" s="1"/>
  <c r="C20" i="153"/>
  <c r="C21" i="153" s="1"/>
  <c r="C23" i="153" s="1"/>
  <c r="C25" i="153" s="1"/>
  <c r="C20" i="152"/>
  <c r="C21" i="152" s="1"/>
  <c r="C23" i="152" s="1"/>
  <c r="C25" i="152" s="1"/>
  <c r="C20" i="151"/>
  <c r="C21" i="151" s="1"/>
  <c r="C23" i="151" s="1"/>
  <c r="C25" i="151" s="1"/>
  <c r="C16" i="150"/>
  <c r="C17" i="150" s="1"/>
  <c r="C19" i="150" s="1"/>
  <c r="C21" i="150" s="1"/>
  <c r="C20" i="86"/>
  <c r="C21" i="86" s="1"/>
  <c r="C23" i="86" s="1"/>
  <c r="C25" i="86" s="1"/>
  <c r="C24" i="149"/>
  <c r="C25" i="149" s="1"/>
  <c r="C27" i="149" s="1"/>
  <c r="C29" i="149" s="1"/>
  <c r="C24" i="148"/>
  <c r="C25" i="148"/>
  <c r="C27" i="148" s="1"/>
  <c r="C29" i="148" s="1"/>
  <c r="C25" i="147"/>
  <c r="C26" i="147" s="1"/>
  <c r="C28" i="147" s="1"/>
  <c r="C30" i="147" s="1"/>
  <c r="C24" i="146"/>
  <c r="C25" i="146" s="1"/>
  <c r="C27" i="146" s="1"/>
  <c r="C29" i="146" s="1"/>
  <c r="C22" i="145"/>
  <c r="C23" i="145" s="1"/>
  <c r="C25" i="145" s="1"/>
  <c r="C27" i="145" s="1"/>
  <c r="C13" i="144" l="1"/>
  <c r="C14" i="143"/>
  <c r="C13" i="143"/>
  <c r="C11" i="143"/>
  <c r="C14" i="142"/>
  <c r="C13" i="142"/>
  <c r="C11" i="142"/>
  <c r="C14" i="141"/>
  <c r="C13" i="141"/>
  <c r="C11" i="141"/>
  <c r="C14" i="140"/>
  <c r="C13" i="140"/>
  <c r="C11" i="140"/>
  <c r="C13" i="139" l="1"/>
  <c r="C13" i="138"/>
  <c r="C11" i="138"/>
  <c r="C18" i="137"/>
  <c r="C13" i="137"/>
  <c r="C14" i="137"/>
  <c r="C15" i="137"/>
  <c r="C16" i="137"/>
  <c r="C17" i="137"/>
  <c r="C20" i="137" s="1"/>
  <c r="C12" i="137"/>
  <c r="C11" i="144"/>
  <c r="C15" i="144" s="1"/>
  <c r="C16" i="143"/>
  <c r="C16" i="142"/>
  <c r="C16" i="141"/>
  <c r="C16" i="140"/>
  <c r="C17" i="140" s="1"/>
  <c r="C11" i="139"/>
  <c r="C15" i="138"/>
  <c r="C11" i="137"/>
  <c r="C13" i="136"/>
  <c r="C11" i="136"/>
  <c r="C14" i="135"/>
  <c r="C13" i="135"/>
  <c r="C14" i="134"/>
  <c r="C13" i="134"/>
  <c r="C14" i="133"/>
  <c r="C13" i="133"/>
  <c r="C14" i="132"/>
  <c r="C13" i="132"/>
  <c r="C13" i="131"/>
  <c r="C11" i="135"/>
  <c r="C16" i="135" s="1"/>
  <c r="C11" i="134"/>
  <c r="C16" i="134" s="1"/>
  <c r="C11" i="133"/>
  <c r="C16" i="133" s="1"/>
  <c r="C16" i="132"/>
  <c r="C11" i="132"/>
  <c r="C15" i="131"/>
  <c r="C11" i="131"/>
  <c r="C14" i="130"/>
  <c r="C13" i="130"/>
  <c r="C11" i="130"/>
  <c r="C16" i="130"/>
  <c r="C12" i="129"/>
  <c r="C14" i="129"/>
  <c r="C15" i="129"/>
  <c r="C16" i="129"/>
  <c r="C17" i="129"/>
  <c r="C13" i="129"/>
  <c r="C11" i="129"/>
  <c r="C15" i="139" l="1"/>
  <c r="C16" i="139" s="1"/>
  <c r="C17" i="139" s="1"/>
  <c r="C16" i="144"/>
  <c r="C17" i="144" s="1"/>
  <c r="C17" i="143"/>
  <c r="C18" i="143" s="1"/>
  <c r="C17" i="142"/>
  <c r="C18" i="142" s="1"/>
  <c r="C17" i="141"/>
  <c r="C18" i="141" s="1"/>
  <c r="C18" i="140"/>
  <c r="C16" i="138"/>
  <c r="C17" i="138" s="1"/>
  <c r="C21" i="137"/>
  <c r="C22" i="137" s="1"/>
  <c r="C15" i="136"/>
  <c r="C16" i="136" s="1"/>
  <c r="C17" i="136" s="1"/>
  <c r="C17" i="135"/>
  <c r="C18" i="135" s="1"/>
  <c r="C17" i="134"/>
  <c r="C18" i="134" s="1"/>
  <c r="C17" i="133"/>
  <c r="C18" i="133" s="1"/>
  <c r="C17" i="132"/>
  <c r="C18" i="132" s="1"/>
  <c r="C16" i="131"/>
  <c r="C17" i="131" s="1"/>
  <c r="C17" i="130"/>
  <c r="C18" i="130" s="1"/>
  <c r="C19" i="144" l="1"/>
  <c r="C20" i="144" s="1"/>
  <c r="C22" i="144" s="1"/>
  <c r="C24" i="144" s="1"/>
  <c r="C20" i="143"/>
  <c r="C21" i="143" s="1"/>
  <c r="C23" i="143" s="1"/>
  <c r="C25" i="143" s="1"/>
  <c r="C20" i="142"/>
  <c r="C21" i="142" s="1"/>
  <c r="C23" i="142" s="1"/>
  <c r="C25" i="142" s="1"/>
  <c r="C20" i="141"/>
  <c r="C21" i="141" s="1"/>
  <c r="C23" i="141" s="1"/>
  <c r="C25" i="141" s="1"/>
  <c r="C20" i="140"/>
  <c r="C21" i="140" s="1"/>
  <c r="C23" i="140" s="1"/>
  <c r="C25" i="140" s="1"/>
  <c r="C19" i="139"/>
  <c r="C20" i="139" s="1"/>
  <c r="C22" i="139" s="1"/>
  <c r="C24" i="139" s="1"/>
  <c r="C19" i="138"/>
  <c r="C20" i="138" s="1"/>
  <c r="C22" i="138" s="1"/>
  <c r="C24" i="138" s="1"/>
  <c r="C24" i="137"/>
  <c r="C25" i="137" s="1"/>
  <c r="C27" i="137" s="1"/>
  <c r="C29" i="137" s="1"/>
  <c r="C19" i="136"/>
  <c r="C20" i="136" s="1"/>
  <c r="C22" i="136" s="1"/>
  <c r="C24" i="136" s="1"/>
  <c r="C20" i="135"/>
  <c r="C21" i="135" s="1"/>
  <c r="C23" i="135" s="1"/>
  <c r="C25" i="135" s="1"/>
  <c r="C20" i="134"/>
  <c r="C21" i="134" s="1"/>
  <c r="C23" i="134" s="1"/>
  <c r="C25" i="134" s="1"/>
  <c r="C20" i="133"/>
  <c r="C21" i="133" s="1"/>
  <c r="C23" i="133" s="1"/>
  <c r="C25" i="133" s="1"/>
  <c r="C20" i="132"/>
  <c r="C21" i="132" s="1"/>
  <c r="C23" i="132" s="1"/>
  <c r="C25" i="132" s="1"/>
  <c r="C19" i="131"/>
  <c r="C20" i="131"/>
  <c r="C22" i="131" s="1"/>
  <c r="C24" i="131" s="1"/>
  <c r="C20" i="130"/>
  <c r="C21" i="130" s="1"/>
  <c r="C23" i="130" s="1"/>
  <c r="C25" i="130" s="1"/>
  <c r="C18" i="129" l="1"/>
  <c r="C20" i="129" s="1"/>
  <c r="C24" i="128"/>
  <c r="C23" i="128"/>
  <c r="C17" i="128"/>
  <c r="C16" i="128"/>
  <c r="C15" i="128"/>
  <c r="C14" i="128"/>
  <c r="C13" i="128"/>
  <c r="C12" i="128"/>
  <c r="C11" i="128"/>
  <c r="C20" i="127"/>
  <c r="C21" i="127"/>
  <c r="C23" i="127"/>
  <c r="C19" i="127"/>
  <c r="C18" i="127"/>
  <c r="C17" i="127"/>
  <c r="C16" i="127"/>
  <c r="C15" i="127"/>
  <c r="C14" i="127"/>
  <c r="C13" i="127"/>
  <c r="C11" i="127"/>
  <c r="C17" i="126"/>
  <c r="C18" i="126"/>
  <c r="C15" i="126"/>
  <c r="C14" i="126"/>
  <c r="C13" i="126"/>
  <c r="C16" i="126"/>
  <c r="C12" i="126"/>
  <c r="C11" i="126"/>
  <c r="C15" i="125"/>
  <c r="C13" i="125"/>
  <c r="C11" i="125"/>
  <c r="C10" i="125"/>
  <c r="C17" i="125" s="1"/>
  <c r="C17" i="124"/>
  <c r="C19" i="124"/>
  <c r="C16" i="124"/>
  <c r="C15" i="124"/>
  <c r="C14" i="124"/>
  <c r="C13" i="124"/>
  <c r="C10" i="124"/>
  <c r="C11" i="124"/>
  <c r="C22" i="123"/>
  <c r="C20" i="123"/>
  <c r="C19" i="123"/>
  <c r="C18" i="123"/>
  <c r="C17" i="123"/>
  <c r="C16" i="123"/>
  <c r="C13" i="123"/>
  <c r="C14" i="123"/>
  <c r="C12" i="123"/>
  <c r="C11" i="123"/>
  <c r="C15" i="50"/>
  <c r="C16" i="50" s="1"/>
  <c r="C18" i="50" s="1"/>
  <c r="C20" i="50" s="1"/>
  <c r="C10" i="123"/>
  <c r="C21" i="72"/>
  <c r="C14" i="72"/>
  <c r="C13" i="74"/>
  <c r="C15" i="74" s="1"/>
  <c r="C15" i="72"/>
  <c r="C21" i="129" l="1"/>
  <c r="C22" i="129" s="1"/>
  <c r="C19" i="128"/>
  <c r="C20" i="128" s="1"/>
  <c r="C21" i="128" s="1"/>
  <c r="C24" i="127"/>
  <c r="C25" i="127" s="1"/>
  <c r="C20" i="126"/>
  <c r="C21" i="126" s="1"/>
  <c r="C22" i="126" s="1"/>
  <c r="C18" i="125"/>
  <c r="C19" i="125" s="1"/>
  <c r="C21" i="124"/>
  <c r="C22" i="124" s="1"/>
  <c r="C23" i="124" s="1"/>
  <c r="C24" i="123"/>
  <c r="C24" i="72"/>
  <c r="C25" i="72" s="1"/>
  <c r="C35" i="72" s="1"/>
  <c r="C37" i="72" s="1"/>
  <c r="C24" i="129" l="1"/>
  <c r="C25" i="129" s="1"/>
  <c r="C27" i="129" s="1"/>
  <c r="C29" i="129" s="1"/>
  <c r="C26" i="128"/>
  <c r="C28" i="128" s="1"/>
  <c r="C27" i="127"/>
  <c r="C28" i="127" s="1"/>
  <c r="C30" i="127" s="1"/>
  <c r="C32" i="127" s="1"/>
  <c r="C24" i="126"/>
  <c r="C25" i="126" s="1"/>
  <c r="C27" i="126" s="1"/>
  <c r="C29" i="126" s="1"/>
  <c r="C21" i="125"/>
  <c r="C22" i="125" s="1"/>
  <c r="C24" i="125" s="1"/>
  <c r="C26" i="125" s="1"/>
  <c r="C25" i="124"/>
  <c r="C26" i="124" s="1"/>
  <c r="C28" i="124" s="1"/>
  <c r="C30" i="124" s="1"/>
  <c r="C25" i="123"/>
  <c r="C26" i="123" s="1"/>
  <c r="C28" i="123" l="1"/>
  <c r="C29" i="123" s="1"/>
  <c r="C31" i="123" s="1"/>
  <c r="C33" i="123" s="1"/>
  <c r="C10" i="51" l="1"/>
  <c r="C12" i="51" s="1"/>
  <c r="C14" i="51" s="1"/>
  <c r="C20" i="49"/>
  <c r="C10" i="49"/>
  <c r="C11" i="49" s="1"/>
  <c r="C12" i="49" s="1"/>
  <c r="C21" i="49" s="1"/>
  <c r="C23" i="49" s="1"/>
  <c r="C25" i="49" s="1"/>
  <c r="C24" i="85"/>
  <c r="C13" i="85"/>
  <c r="C12" i="85"/>
  <c r="C11" i="85"/>
  <c r="C16" i="85" s="1"/>
  <c r="C17" i="85" s="1"/>
  <c r="C25" i="85" s="1"/>
  <c r="C27" i="85" s="1"/>
  <c r="C29" i="85" s="1"/>
  <c r="C24" i="84"/>
  <c r="C13" i="84"/>
  <c r="C12" i="84"/>
  <c r="C11" i="84"/>
  <c r="C16" i="84" s="1"/>
  <c r="C17" i="84" s="1"/>
  <c r="C25" i="84" s="1"/>
  <c r="C27" i="84" s="1"/>
  <c r="C29" i="84" s="1"/>
  <c r="C24" i="83"/>
  <c r="C13" i="83"/>
  <c r="C12" i="83"/>
  <c r="C11" i="83"/>
  <c r="C16" i="83" s="1"/>
  <c r="C17" i="83" s="1"/>
  <c r="C25" i="83" s="1"/>
  <c r="C27" i="83" s="1"/>
  <c r="C29" i="83" s="1"/>
  <c r="C24" i="82"/>
  <c r="C13" i="82"/>
  <c r="C12" i="82"/>
  <c r="C11" i="82"/>
  <c r="C16" i="82" s="1"/>
  <c r="C17" i="82" s="1"/>
  <c r="C25" i="82" s="1"/>
  <c r="C27" i="82" s="1"/>
  <c r="C29" i="82" s="1"/>
  <c r="C24" i="81"/>
  <c r="C13" i="81"/>
  <c r="C12" i="81"/>
  <c r="C11" i="81"/>
  <c r="C16" i="81" s="1"/>
  <c r="C17" i="81" s="1"/>
  <c r="C25" i="81" s="1"/>
  <c r="C27" i="81" s="1"/>
  <c r="C24" i="80"/>
  <c r="C13" i="80"/>
  <c r="C16" i="80" s="1"/>
  <c r="C17" i="80" s="1"/>
  <c r="C25" i="80" s="1"/>
  <c r="C27" i="80" s="1"/>
  <c r="C29" i="80" s="1"/>
  <c r="C12" i="80"/>
  <c r="C11" i="80"/>
  <c r="C24" i="79"/>
  <c r="C13" i="79"/>
  <c r="C12" i="79"/>
  <c r="C11" i="79"/>
  <c r="C16" i="79" s="1"/>
  <c r="C17" i="79" s="1"/>
  <c r="C25" i="79" s="1"/>
  <c r="C27" i="79" s="1"/>
  <c r="C29" i="79" s="1"/>
  <c r="C24" i="45"/>
  <c r="C13" i="45"/>
  <c r="C12" i="45"/>
  <c r="C11" i="45"/>
  <c r="C16" i="45" s="1"/>
  <c r="C17" i="45" s="1"/>
  <c r="C25" i="45" s="1"/>
  <c r="C27" i="45" s="1"/>
  <c r="C29" i="45" s="1"/>
  <c r="C24" i="44"/>
  <c r="C13" i="44"/>
  <c r="C12" i="44"/>
  <c r="C11" i="44"/>
  <c r="C16" i="44" s="1"/>
  <c r="C17" i="44" s="1"/>
  <c r="C25" i="44" s="1"/>
  <c r="C27" i="44" s="1"/>
  <c r="C29" i="44" s="1"/>
  <c r="C24" i="43"/>
  <c r="C13" i="43"/>
  <c r="C12" i="43"/>
  <c r="C11" i="43"/>
  <c r="C16" i="43" s="1"/>
  <c r="C17" i="43" s="1"/>
  <c r="C25" i="43" s="1"/>
  <c r="C27" i="43" s="1"/>
  <c r="C29" i="43" s="1"/>
  <c r="C19" i="8"/>
  <c r="C21" i="8" s="1"/>
  <c r="C23" i="8" s="1"/>
  <c r="C18" i="8"/>
  <c r="C10" i="8"/>
  <c r="C18" i="7"/>
  <c r="C10" i="7"/>
  <c r="C19" i="7" s="1"/>
  <c r="C21" i="7" s="1"/>
  <c r="C23" i="7" s="1"/>
  <c r="C34" i="20"/>
  <c r="C24" i="20"/>
  <c r="C25" i="20" s="1"/>
  <c r="C20" i="20"/>
  <c r="C17" i="20"/>
  <c r="C22" i="20" s="1"/>
  <c r="C14" i="20"/>
  <c r="C26" i="20" s="1"/>
  <c r="C35" i="20" s="1"/>
  <c r="C37" i="20" s="1"/>
  <c r="C39" i="20" s="1"/>
  <c r="C11" i="20"/>
  <c r="C31" i="4"/>
  <c r="C21" i="4"/>
  <c r="C22" i="4" s="1"/>
  <c r="C17" i="4"/>
  <c r="C19" i="4" s="1"/>
  <c r="C11" i="4"/>
  <c r="C14" i="4" s="1"/>
  <c r="C23" i="4" s="1"/>
  <c r="C32" i="4" s="1"/>
  <c r="C34" i="4" s="1"/>
  <c r="C36" i="4" s="1"/>
  <c r="C31" i="18"/>
  <c r="C21" i="18"/>
  <c r="C22" i="18" s="1"/>
  <c r="C17" i="18"/>
  <c r="C19" i="18" s="1"/>
  <c r="C11" i="18"/>
  <c r="C14" i="18" s="1"/>
  <c r="C23" i="18" s="1"/>
  <c r="C32" i="18" s="1"/>
  <c r="C34" i="18" s="1"/>
  <c r="C36" i="18" s="1"/>
  <c r="C31" i="19"/>
  <c r="C21" i="19"/>
  <c r="C22" i="19" s="1"/>
  <c r="C17" i="19"/>
  <c r="C19" i="19" s="1"/>
  <c r="C11" i="19"/>
  <c r="C14" i="19" s="1"/>
  <c r="C23" i="19" l="1"/>
  <c r="C32" i="19" s="1"/>
  <c r="C34" i="19" s="1"/>
  <c r="C36" i="19" s="1"/>
  <c r="C31" i="27" l="1"/>
  <c r="C21" i="27"/>
  <c r="C22" i="27" s="1"/>
  <c r="C17" i="27"/>
  <c r="C19" i="27" s="1"/>
  <c r="C11" i="27"/>
  <c r="C14" i="27" s="1"/>
  <c r="C23" i="27" s="1"/>
  <c r="C32" i="27" s="1"/>
  <c r="C34" i="27" s="1"/>
  <c r="C36" i="27" s="1"/>
  <c r="C31" i="26"/>
  <c r="C21" i="26"/>
  <c r="C22" i="26" s="1"/>
  <c r="C17" i="26"/>
  <c r="C19" i="26" s="1"/>
  <c r="C11" i="26"/>
  <c r="C14" i="26" s="1"/>
  <c r="C23" i="26" s="1"/>
  <c r="C32" i="26" s="1"/>
  <c r="C34" i="26" s="1"/>
  <c r="C36" i="26" s="1"/>
  <c r="C31" i="25"/>
  <c r="C21" i="25"/>
  <c r="C22" i="25" s="1"/>
  <c r="C17" i="25"/>
  <c r="C19" i="25" s="1"/>
  <c r="C11" i="25"/>
  <c r="C14" i="25" s="1"/>
  <c r="C23" i="25" s="1"/>
  <c r="C32" i="25" s="1"/>
  <c r="C34" i="25" s="1"/>
  <c r="C36" i="25" s="1"/>
  <c r="C31" i="23"/>
  <c r="C21" i="23"/>
  <c r="C22" i="23" s="1"/>
  <c r="C17" i="23"/>
  <c r="C19" i="23" s="1"/>
  <c r="C11" i="23"/>
  <c r="C14" i="23" s="1"/>
  <c r="C23" i="23" s="1"/>
  <c r="C32" i="23" s="1"/>
  <c r="C34" i="23" s="1"/>
  <c r="C36" i="23" s="1"/>
  <c r="C34" i="21"/>
  <c r="C24" i="21"/>
  <c r="C25" i="21" s="1"/>
  <c r="C20" i="21"/>
  <c r="C17" i="21"/>
  <c r="C22" i="21" s="1"/>
  <c r="C11" i="21"/>
  <c r="C14" i="21" s="1"/>
  <c r="C26" i="21" s="1"/>
  <c r="C35" i="21" s="1"/>
  <c r="C37" i="21" s="1"/>
  <c r="C39" i="21" s="1"/>
  <c r="C34" i="5"/>
  <c r="C24" i="5"/>
  <c r="C25" i="5" s="1"/>
  <c r="C22" i="5"/>
  <c r="C14" i="5"/>
  <c r="C17" i="5" s="1"/>
  <c r="C26" i="5" s="1"/>
  <c r="C35" i="5" s="1"/>
  <c r="C37" i="5" s="1"/>
  <c r="C39" i="5" s="1"/>
  <c r="C36" i="3" l="1"/>
  <c r="C26" i="3"/>
  <c r="C27" i="3" s="1"/>
  <c r="C23" i="3"/>
  <c r="C20" i="3"/>
  <c r="C17" i="3"/>
  <c r="C24" i="3" s="1"/>
  <c r="C11" i="3"/>
  <c r="C14" i="3" s="1"/>
  <c r="C28" i="3" s="1"/>
  <c r="C37" i="3" s="1"/>
  <c r="C39" i="3" s="1"/>
  <c r="C41" i="3" s="1"/>
  <c r="C21" i="122" l="1"/>
  <c r="C10" i="122"/>
  <c r="C9" i="122"/>
  <c r="C20" i="121"/>
  <c r="C10" i="121"/>
  <c r="C9" i="121"/>
  <c r="C22" i="120"/>
  <c r="C12" i="120"/>
  <c r="C11" i="120"/>
  <c r="C10" i="120"/>
  <c r="C9" i="120"/>
  <c r="C13" i="120" s="1"/>
  <c r="C23" i="120" s="1"/>
  <c r="C25" i="120" s="1"/>
  <c r="C27" i="120" s="1"/>
  <c r="C27" i="119"/>
  <c r="C17" i="119"/>
  <c r="C15" i="119"/>
  <c r="C14" i="119"/>
  <c r="C12" i="119"/>
  <c r="C11" i="119"/>
  <c r="C10" i="119"/>
  <c r="C18" i="119" s="1"/>
  <c r="C28" i="119" s="1"/>
  <c r="C30" i="119" s="1"/>
  <c r="C32" i="119" s="1"/>
  <c r="C27" i="118"/>
  <c r="C17" i="118"/>
  <c r="C15" i="118"/>
  <c r="C14" i="118"/>
  <c r="C12" i="118"/>
  <c r="C11" i="118"/>
  <c r="C10" i="118"/>
  <c r="C18" i="118" s="1"/>
  <c r="C28" i="118" s="1"/>
  <c r="C30" i="118" s="1"/>
  <c r="C32" i="118" s="1"/>
  <c r="C22" i="117"/>
  <c r="C11" i="117"/>
  <c r="C10" i="117"/>
  <c r="C13" i="117" s="1"/>
  <c r="C23" i="117" s="1"/>
  <c r="C25" i="117" s="1"/>
  <c r="C27" i="117" s="1"/>
  <c r="C21" i="116"/>
  <c r="C11" i="116"/>
  <c r="C10" i="116"/>
  <c r="C12" i="116" s="1"/>
  <c r="C22" i="116" s="1"/>
  <c r="C24" i="116" s="1"/>
  <c r="C26" i="116" s="1"/>
  <c r="C27" i="115"/>
  <c r="C17" i="115"/>
  <c r="C15" i="115"/>
  <c r="C13" i="115"/>
  <c r="C11" i="115"/>
  <c r="C10" i="115"/>
  <c r="C18" i="115" s="1"/>
  <c r="C28" i="115" s="1"/>
  <c r="C30" i="115" s="1"/>
  <c r="C32" i="115" s="1"/>
  <c r="C25" i="114"/>
  <c r="C13" i="114"/>
  <c r="C12" i="114"/>
  <c r="C11" i="114"/>
  <c r="C10" i="114"/>
  <c r="C16" i="114" s="1"/>
  <c r="C26" i="114" s="1"/>
  <c r="C28" i="114" s="1"/>
  <c r="C30" i="114" s="1"/>
  <c r="C19" i="113"/>
  <c r="C9" i="113"/>
  <c r="C11" i="113" s="1"/>
  <c r="C20" i="113" s="1"/>
  <c r="C22" i="113" s="1"/>
  <c r="C24" i="113" s="1"/>
  <c r="C21" i="112"/>
  <c r="C11" i="112"/>
  <c r="C10" i="112"/>
  <c r="C13" i="112" s="1"/>
  <c r="C22" i="112" s="1"/>
  <c r="C24" i="112" s="1"/>
  <c r="C26" i="112" s="1"/>
  <c r="C24" i="111"/>
  <c r="C15" i="111"/>
  <c r="C11" i="111"/>
  <c r="C16" i="111" s="1"/>
  <c r="C25" i="111" s="1"/>
  <c r="C27" i="111" s="1"/>
  <c r="C29" i="111" s="1"/>
  <c r="C24" i="110"/>
  <c r="C15" i="110"/>
  <c r="C11" i="110"/>
  <c r="C16" i="110" s="1"/>
  <c r="C25" i="110" s="1"/>
  <c r="C27" i="110" s="1"/>
  <c r="C29" i="110" s="1"/>
  <c r="C19" i="87"/>
  <c r="C10" i="87"/>
  <c r="C11" i="87" s="1"/>
  <c r="C20" i="87" s="1"/>
  <c r="C22" i="87" s="1"/>
  <c r="C24" i="87" s="1"/>
  <c r="C20" i="89"/>
  <c r="C22" i="89" s="1"/>
  <c r="C24" i="89" s="1"/>
  <c r="C19" i="89"/>
  <c r="C11" i="89"/>
  <c r="C20" i="88"/>
  <c r="C22" i="88" s="1"/>
  <c r="C24" i="88" s="1"/>
  <c r="C19" i="88"/>
  <c r="C11" i="88"/>
  <c r="C34" i="98"/>
  <c r="C21" i="98"/>
  <c r="C20" i="98"/>
  <c r="C24" i="98" s="1"/>
  <c r="C16" i="98"/>
  <c r="C18" i="98" s="1"/>
  <c r="C14" i="98"/>
  <c r="C25" i="98" s="1"/>
  <c r="C35" i="98" s="1"/>
  <c r="C37" i="98" s="1"/>
  <c r="C39" i="98" s="1"/>
  <c r="C11" i="98"/>
  <c r="C34" i="97"/>
  <c r="C21" i="97"/>
  <c r="C20" i="97"/>
  <c r="C24" i="97" s="1"/>
  <c r="C18" i="97"/>
  <c r="C16" i="97"/>
  <c r="C14" i="97"/>
  <c r="C25" i="97" s="1"/>
  <c r="C35" i="97" s="1"/>
  <c r="C37" i="97" s="1"/>
  <c r="C39" i="97" s="1"/>
  <c r="C11" i="97"/>
  <c r="C34" i="96"/>
  <c r="C21" i="96"/>
  <c r="C20" i="96"/>
  <c r="C24" i="96" s="1"/>
  <c r="C16" i="96"/>
  <c r="C18" i="96" s="1"/>
  <c r="C11" i="96"/>
  <c r="C14" i="96" s="1"/>
  <c r="C25" i="96" s="1"/>
  <c r="C35" i="96" s="1"/>
  <c r="C37" i="96" s="1"/>
  <c r="C39" i="96" s="1"/>
  <c r="C34" i="95"/>
  <c r="C21" i="95"/>
  <c r="C20" i="95"/>
  <c r="C24" i="95" s="1"/>
  <c r="C18" i="95"/>
  <c r="C16" i="95"/>
  <c r="C11" i="95"/>
  <c r="C14" i="95" s="1"/>
  <c r="C25" i="95" s="1"/>
  <c r="C35" i="95" s="1"/>
  <c r="C37" i="95" s="1"/>
  <c r="C39" i="95" s="1"/>
  <c r="C37" i="94"/>
  <c r="C24" i="94"/>
  <c r="C23" i="94"/>
  <c r="C27" i="94" s="1"/>
  <c r="C19" i="94"/>
  <c r="C16" i="94"/>
  <c r="C21" i="94" s="1"/>
  <c r="C14" i="94"/>
  <c r="C28" i="94" s="1"/>
  <c r="C38" i="94" s="1"/>
  <c r="C40" i="94" s="1"/>
  <c r="C42" i="94" s="1"/>
  <c r="C11" i="94"/>
  <c r="C34" i="93"/>
  <c r="C21" i="93"/>
  <c r="C20" i="93"/>
  <c r="C24" i="93" s="1"/>
  <c r="C16" i="93"/>
  <c r="C18" i="93" s="1"/>
  <c r="C11" i="93"/>
  <c r="C14" i="93" s="1"/>
  <c r="C25" i="93" s="1"/>
  <c r="C35" i="93" s="1"/>
  <c r="C37" i="93" s="1"/>
  <c r="C39" i="93" s="1"/>
  <c r="C34" i="92"/>
  <c r="C21" i="92"/>
  <c r="C20" i="92"/>
  <c r="C24" i="92" s="1"/>
  <c r="C16" i="92"/>
  <c r="C18" i="92" s="1"/>
  <c r="C14" i="92"/>
  <c r="C25" i="92" s="1"/>
  <c r="C35" i="92" s="1"/>
  <c r="C37" i="92" s="1"/>
  <c r="C39" i="92" s="1"/>
  <c r="C11" i="92"/>
  <c r="C34" i="91"/>
  <c r="C21" i="91"/>
  <c r="C20" i="91"/>
  <c r="C24" i="91" s="1"/>
  <c r="C16" i="91"/>
  <c r="C18" i="91" s="1"/>
  <c r="C14" i="91"/>
  <c r="C25" i="91" s="1"/>
  <c r="C35" i="91" s="1"/>
  <c r="C37" i="91" s="1"/>
  <c r="C39" i="91" s="1"/>
  <c r="C11" i="91"/>
  <c r="C34" i="90"/>
  <c r="C21" i="90"/>
  <c r="C20" i="90"/>
  <c r="C24" i="90" s="1"/>
  <c r="C16" i="90"/>
  <c r="C18" i="90" s="1"/>
  <c r="C11" i="90"/>
  <c r="C14" i="90" s="1"/>
  <c r="C25" i="90" s="1"/>
  <c r="C35" i="90" s="1"/>
  <c r="C37" i="90" s="1"/>
  <c r="C39" i="90" s="1"/>
  <c r="C34" i="109"/>
  <c r="C21" i="109"/>
  <c r="C20" i="109"/>
  <c r="C24" i="109" s="1"/>
  <c r="C18" i="109"/>
  <c r="C16" i="109"/>
  <c r="C11" i="109"/>
  <c r="C14" i="109" s="1"/>
  <c r="C25" i="109" s="1"/>
  <c r="C35" i="109" s="1"/>
  <c r="C37" i="109" s="1"/>
  <c r="C39" i="109" s="1"/>
  <c r="C34" i="108"/>
  <c r="C21" i="108"/>
  <c r="C20" i="108"/>
  <c r="C24" i="108" s="1"/>
  <c r="C16" i="108"/>
  <c r="C18" i="108" s="1"/>
  <c r="C11" i="108"/>
  <c r="C14" i="108" s="1"/>
  <c r="C25" i="108" s="1"/>
  <c r="C35" i="108" s="1"/>
  <c r="C37" i="108" s="1"/>
  <c r="C39" i="108" s="1"/>
  <c r="C34" i="107"/>
  <c r="C21" i="107"/>
  <c r="C20" i="107"/>
  <c r="C24" i="107" s="1"/>
  <c r="C16" i="107"/>
  <c r="C18" i="107" s="1"/>
  <c r="C11" i="107"/>
  <c r="C14" i="107" s="1"/>
  <c r="C25" i="107" s="1"/>
  <c r="C35" i="107" s="1"/>
  <c r="C37" i="107" s="1"/>
  <c r="C39" i="107" s="1"/>
  <c r="C34" i="106"/>
  <c r="C21" i="106"/>
  <c r="C20" i="106"/>
  <c r="C24" i="106" s="1"/>
  <c r="C16" i="106"/>
  <c r="C18" i="106" s="1"/>
  <c r="C14" i="106"/>
  <c r="C25" i="106" s="1"/>
  <c r="C35" i="106" s="1"/>
  <c r="C37" i="106" s="1"/>
  <c r="C39" i="106" s="1"/>
  <c r="C12" i="106"/>
  <c r="C11" i="106"/>
  <c r="C38" i="105"/>
  <c r="C25" i="105"/>
  <c r="C24" i="105"/>
  <c r="C28" i="105" s="1"/>
  <c r="C20" i="105"/>
  <c r="C17" i="105"/>
  <c r="C22" i="105" s="1"/>
  <c r="C14" i="105"/>
  <c r="C29" i="105" s="1"/>
  <c r="C39" i="105" s="1"/>
  <c r="C41" i="105" s="1"/>
  <c r="C43" i="105" s="1"/>
  <c r="C11" i="105"/>
  <c r="C34" i="104"/>
  <c r="C21" i="104"/>
  <c r="C20" i="104"/>
  <c r="C24" i="104" s="1"/>
  <c r="C16" i="104"/>
  <c r="C18" i="104" s="1"/>
  <c r="C11" i="104"/>
  <c r="C14" i="104" s="1"/>
  <c r="C39" i="103"/>
  <c r="C27" i="103"/>
  <c r="C26" i="103"/>
  <c r="C30" i="103" s="1"/>
  <c r="C22" i="103"/>
  <c r="C19" i="103"/>
  <c r="C16" i="103"/>
  <c r="C24" i="103" s="1"/>
  <c r="C11" i="103"/>
  <c r="C14" i="103" s="1"/>
  <c r="C31" i="103" s="1"/>
  <c r="C40" i="103" s="1"/>
  <c r="C42" i="103" s="1"/>
  <c r="C44" i="103" s="1"/>
  <c r="C40" i="102"/>
  <c r="C27" i="102"/>
  <c r="C26" i="102"/>
  <c r="C30" i="102" s="1"/>
  <c r="C24" i="102"/>
  <c r="C14" i="102"/>
  <c r="C31" i="102" s="1"/>
  <c r="C41" i="102" s="1"/>
  <c r="C43" i="102" s="1"/>
  <c r="C45" i="102" s="1"/>
  <c r="C40" i="101"/>
  <c r="C27" i="101"/>
  <c r="C26" i="101"/>
  <c r="C30" i="101" s="1"/>
  <c r="C22" i="101"/>
  <c r="C19" i="101"/>
  <c r="C16" i="101"/>
  <c r="C24" i="101" s="1"/>
  <c r="C11" i="101"/>
  <c r="C14" i="101" s="1"/>
  <c r="C31" i="101" s="1"/>
  <c r="C41" i="101" s="1"/>
  <c r="C43" i="101" s="1"/>
  <c r="C45" i="101" s="1"/>
  <c r="C40" i="100"/>
  <c r="C28" i="100"/>
  <c r="C27" i="100"/>
  <c r="C31" i="100" s="1"/>
  <c r="C25" i="100"/>
  <c r="C14" i="100"/>
  <c r="C32" i="100" s="1"/>
  <c r="C41" i="100" s="1"/>
  <c r="C43" i="100" s="1"/>
  <c r="C45" i="100" s="1"/>
  <c r="C40" i="99"/>
  <c r="C28" i="99"/>
  <c r="C27" i="99"/>
  <c r="C31" i="99" s="1"/>
  <c r="C23" i="99"/>
  <c r="C20" i="99"/>
  <c r="C17" i="99"/>
  <c r="C25" i="99" s="1"/>
  <c r="C11" i="99"/>
  <c r="C14" i="99" s="1"/>
  <c r="C32" i="99" s="1"/>
  <c r="C41" i="99" s="1"/>
  <c r="C43" i="99" s="1"/>
  <c r="C45" i="99" s="1"/>
  <c r="C24" i="34"/>
  <c r="C12" i="34"/>
  <c r="C11" i="34"/>
  <c r="C10" i="34"/>
  <c r="C16" i="34" s="1"/>
  <c r="C25" i="34" s="1"/>
  <c r="C27" i="34" s="1"/>
  <c r="C29" i="34" s="1"/>
  <c r="C24" i="78"/>
  <c r="C26" i="78" s="1"/>
  <c r="C28" i="78" s="1"/>
  <c r="C23" i="78"/>
  <c r="C15" i="78"/>
  <c r="C11" i="78"/>
  <c r="C10" i="78"/>
  <c r="C24" i="77"/>
  <c r="C26" i="77" s="1"/>
  <c r="C28" i="77" s="1"/>
  <c r="C23" i="77"/>
  <c r="C14" i="77"/>
  <c r="C22" i="76"/>
  <c r="C13" i="76"/>
  <c r="C23" i="76" s="1"/>
  <c r="C25" i="76" s="1"/>
  <c r="C27" i="76" s="1"/>
  <c r="C12" i="122" l="1"/>
  <c r="C22" i="122" s="1"/>
  <c r="C24" i="122" s="1"/>
  <c r="C26" i="122" s="1"/>
  <c r="C11" i="121"/>
  <c r="C21" i="121" s="1"/>
  <c r="C23" i="121" s="1"/>
  <c r="C25" i="121" s="1"/>
  <c r="C25" i="104"/>
  <c r="C35" i="104" s="1"/>
  <c r="C37" i="104" s="1"/>
  <c r="C39" i="104" s="1"/>
</calcChain>
</file>

<file path=xl/sharedStrings.xml><?xml version="1.0" encoding="utf-8"?>
<sst xmlns="http://schemas.openxmlformats.org/spreadsheetml/2006/main" count="6069" uniqueCount="709">
  <si>
    <t>Izdevumu klasifikācijas kods</t>
  </si>
  <si>
    <t>Rādītājs (materiāla/izejvielas nosaukums, atlīdzība un citi izmaksu veidi)</t>
  </si>
  <si>
    <t>Izmaksu apjoms noteiktā laikposmā viena maksas pakalpojuma veida nodrošināšanai</t>
  </si>
  <si>
    <t>Tiešās izmaksas</t>
  </si>
  <si>
    <t>x</t>
  </si>
  <si>
    <t>Darbinieka, kurš veic iesnieguma izskatīšanu, pārbaudi, darba samaksa daļas vadītājs (13.amatu saime, IV līmenis, 11.mēnešalgu grupa, mēnešalgu skalas viduspunkts EUR 2645), vid.stundu skaits mēnesī 2024.gadā -166,92
Valsts sociālās apdrošināšanas obligātās iemaksas ( 23,59%) 
Stundas likme 2645/166,92+23,59%= 19.58 EUR/h
Stundas likme x izpildes laiks x pieteikumu skaits / pieteiktie ha = 19.58 x 0.23 x 110/1058= 0,47 EUR</t>
  </si>
  <si>
    <t>Darbinieka, kurš veic augsnes paraugu ņemšanas plāna projekta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x pieteikumu skaits / pieteiktie ha = 12,97 x 1,5 x 110/1058= 2.02 EUR/ha</t>
  </si>
  <si>
    <t>Sistēmas uzturēšana un programmatūras licences</t>
  </si>
  <si>
    <t>Tiešās izmaksas kopā:</t>
  </si>
  <si>
    <t>Netiešās izmaksas</t>
  </si>
  <si>
    <t>Atlīdzība</t>
  </si>
  <si>
    <t>Izdevumi par sakaru pakalpojumiem</t>
  </si>
  <si>
    <t>Izdevumi par komunālajiem pakalpojumiem</t>
  </si>
  <si>
    <t>Iekārtas, inventāra un aparatūras remonts, tehniskā apkalpošana</t>
  </si>
  <si>
    <t>Informācijas tehnoloģijas pakalpojumi</t>
  </si>
  <si>
    <t>Izdevumi par dažādām precēm un inventāru</t>
  </si>
  <si>
    <t>Pamatlīdzekļu nolietojums</t>
  </si>
  <si>
    <t>Netiešās izmaksas kopā:</t>
  </si>
  <si>
    <t>Pakalpojuma izmaksas kopā:</t>
  </si>
  <si>
    <t>Maksas pakalpojuma vienību skaits noteiktā laikposmā (gab.)</t>
  </si>
  <si>
    <r>
      <t>Maksas pakalpojuma izcenojums (</t>
    </r>
    <r>
      <rPr>
        <i/>
        <sz val="12"/>
        <rFont val="Times New Roman"/>
        <family val="1"/>
      </rPr>
      <t>euro</t>
    </r>
    <r>
      <rPr>
        <sz val="12"/>
        <rFont val="Times New Roman"/>
        <family val="1"/>
      </rPr>
      <t xml:space="preserve">) </t>
    </r>
    <r>
      <rPr>
        <i/>
        <sz val="12"/>
        <rFont val="Times New Roman"/>
        <family val="1"/>
      </rPr>
      <t>(pakalpojuma izmaksas kopā, dalītas ar maksas pakalpojuma vienību skaitu noteiktā laikposmā)</t>
    </r>
  </si>
  <si>
    <t>Prognozētais maksas pakalpojumu skaits gadā (gab.)*</t>
  </si>
  <si>
    <r>
      <t>Prognozētie ieņēmumi gadā (</t>
    </r>
    <r>
      <rPr>
        <i/>
        <sz val="12"/>
        <rFont val="Times New Roman"/>
        <family val="1"/>
      </rPr>
      <t>euro</t>
    </r>
    <r>
      <rPr>
        <sz val="12"/>
        <rFont val="Times New Roman"/>
        <family val="1"/>
      </rPr>
      <t xml:space="preserve">)* </t>
    </r>
    <r>
      <rPr>
        <i/>
        <sz val="12"/>
        <rFont val="Times New Roman"/>
        <family val="1"/>
      </rPr>
      <t>(prognozētais maksas pakalpojumu skaits gadā, reizināts ar maksas pakalpojuma izcenojumu)</t>
    </r>
  </si>
  <si>
    <t>Darbinieka, kurš veic iesnieguma izskatīšanu, pārbaudi,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x pieteikumu skaits / pieteiktie ha = 19.58 x 0,33 x 246/38287 = 0,04 EUR/ha</t>
  </si>
  <si>
    <t>Darbinieka, kurš veic augsnes paraugu ņemšanas plāna projekta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x pieteikumu skaits / pieteiktie ha = 12,97 x 8.5 x 246/38287 = 0,71 EUR/ha</t>
  </si>
  <si>
    <t>Darbinieka, kurš veic augsnes paraugu ņemšanu un apstrādi,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0.333 = 4.32 EUR/paraugs</t>
  </si>
  <si>
    <t>Darbinieka, kurš veic augsnes paraugu ņemšanu laiks ceļā, darba samaksa Eksperts (kartogrāfs) (13.amatu saime, III līmenis, 9.mēnešalgu grupa, mēnešalgu skalas viduspunkts EUR 1752), vid.stundu skaits mēnesī 2024.gadā -166,92:
Stundas likme 1752/166,92+23,59%=12,97 EUR/h
Stundas likme x izpildes laiks / paraugu skaits = 12,97 x 1.333/15 = 1.15 EUR/paraugs</t>
  </si>
  <si>
    <t>Materiāli: paraugu maisiņš, paraugu vākšanas trauki, birkas u.c.</t>
  </si>
  <si>
    <t>Sistēmas uzturēšana</t>
  </si>
  <si>
    <t>Degviela</t>
  </si>
  <si>
    <t>Atlīdzība atbalsta personālam</t>
  </si>
  <si>
    <t>Transportlīdzekļu uzturēšana un remonts</t>
  </si>
  <si>
    <t>Darbinieka, kurš veic reprezentatīvā punkta atlasi, augsnes paraugu ņemšanu un apstrādi,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0,667 = 8.65 EUR/paraugs</t>
  </si>
  <si>
    <t>Darbinieka, kurš veic augsnes paraugu ņemšanu, laiks ceļā,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1,333 = 17.29 EUR/paraugs</t>
  </si>
  <si>
    <t>Darbinieka, kurš veic datu apstrādi,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0,333 = 4.32 EUR/ha</t>
  </si>
  <si>
    <t>1. Parauga sagatavošana</t>
  </si>
  <si>
    <t>Darbinieka, kurš veic parauga sagatavošanu,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0,075 =0,97 EUR</t>
  </si>
  <si>
    <t>Materiāli parauga sagatavošanai (birciņa, parauga kastīte, sieti, augsnes paraugu utilizācija)</t>
  </si>
  <si>
    <t>Elektroenerģija</t>
  </si>
  <si>
    <t>Tiešās izmaksas kopā parauga sagatavošanai:</t>
  </si>
  <si>
    <t>2. Parauga analizēšana</t>
  </si>
  <si>
    <t>Viena elementa noteikšana ar ICP-OES</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</si>
  <si>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0,26 =3,37 EUR</t>
  </si>
  <si>
    <t> 2341</t>
  </si>
  <si>
    <t>Laboratorijas materiāli un reaģenti parauga analīzei (šūnveida trauki, mēģenes, svari, reaģenti)</t>
  </si>
  <si>
    <t>pH noteikšana</t>
  </si>
  <si>
    <t>Darbinieka, kurš veic parauga sagatavošanu,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0,033 =0,43 EUR</t>
  </si>
  <si>
    <t>Laboratorijas materiāli un reaģenti parauga analīzei (buferšķīdumi, elektrods)</t>
  </si>
  <si>
    <t>Organisko vielu satura noteikšana ar sauso mineralizēšanu</t>
  </si>
  <si>
    <t>Laboratorijas materiāli un reaģenti parauga analīzei</t>
  </si>
  <si>
    <t>Tiešās izmaksas kopā parauga analizēšanai:</t>
  </si>
  <si>
    <t>3. Datu apstrāde un rezultātu izsniegšana</t>
  </si>
  <si>
    <t>Darbinieka, kurš veic datu apstrādi, darba samaksa Galvenais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0,038 =0,49 EUR</t>
  </si>
  <si>
    <t>Darbinieka, kurš veic rezultātu izsniegšanu,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0,038 =0,74 EUR</t>
  </si>
  <si>
    <t>Materiāli (akreditācijas izdevumi, salīdzinošā testēšana)</t>
  </si>
  <si>
    <t>Tiešās izmaksas kopā datu apstrādei un rezultātu izsniegšanai:</t>
  </si>
  <si>
    <t>Remontdarbi un iestāžu uzturēšanas pakalpojumi (izņemot kapitālo remontu)</t>
  </si>
  <si>
    <t>Zāles, ķimikālijas, laboratorijas preces, medicīniskās ierīces, laboratorijas dzīvnieki un to uzturēšana</t>
  </si>
  <si>
    <t>Darbinieka, kurš veic parauga sagatavošanu,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0,045 = 0,58 EUR</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</si>
  <si>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0,072 = 0.93 EUR</t>
  </si>
  <si>
    <t>Darbinieka, kurš veic datu apstrādi, darba samaksa Galvenais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0,03 =0,39 EUR</t>
  </si>
  <si>
    <t>Darbinieka, kurš veic rezultātu izsniegšanu,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0,03 =0,59 EUR</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</si>
  <si>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0,38 =4,93 EUR</t>
  </si>
  <si>
    <t>Laboratorijas materiāli, reaģenti parauga analīzei</t>
  </si>
  <si>
    <t>Darbinieka, kurš veic parauga sagatavošanu,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0,045 = 0.58 EUR</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</si>
  <si>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0.11 = 1.42 EUR</t>
  </si>
  <si>
    <t xml:space="preserve">Iestāde </t>
  </si>
  <si>
    <t xml:space="preserve">Valsts augu aizsardzības dienests </t>
  </si>
  <si>
    <t xml:space="preserve">Maksas pakalpojuma veids </t>
  </si>
  <si>
    <t>27. Augsnes paraugu agroķīmiskās analīzes</t>
  </si>
  <si>
    <t>27.3. Organisko vielu satura noteikšana sadedzinot, reakcijas (pH) noteikšana 1 M KCl suspensijā, fosfora (P2O5), kālija (K2O), magnija (Mg), kalcija (Ca), vara (Cu), mangāna (Mn), cinka (Zn), sēra (S), dzelzs (Fe) un nātrija (Na) satura noteikšana 0,43 M HNO3 ekstraktā ar ICP-OES</t>
  </si>
  <si>
    <t xml:space="preserve">Laikposms </t>
  </si>
  <si>
    <t>pakalpojuma sniegšanas laiks</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</si>
  <si>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0,74 =9,60 EUR</t>
  </si>
  <si>
    <t>27.4. Bora (B) satura noteikšana karstā 0,1 % MgSO4 ekstraktā ar ICP-OES</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</si>
  <si>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0,25 =3,24 EUR</t>
  </si>
  <si>
    <t>27.5. Nitrāta slāpekļa (NO3), amonija slāpekļa (NH4) satura noteikšanas 1 M KCl ekstraktā ar spektofotometriju un mitruma noteikšana gravimetriski</t>
  </si>
  <si>
    <t>Amonija un nitrātu slāpekļa noteikšana</t>
  </si>
  <si>
    <t>Mitruma noteikšana</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</si>
  <si>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0,033 =0,43 EUR</t>
  </si>
  <si>
    <t>27.6. Kopējā slāpekļa satura noteikšana pēc modificētās Kjeldāla metodes</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</si>
  <si>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0,5 = 6,49 EUR</t>
  </si>
  <si>
    <t>27.7. Kopējā oglekļa, neorganiskā oglekļa un organiskā oglekļa noteikšana ar elementanalizatoru, paraugu pieņemšana</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</si>
  <si>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0,333 = 4,32 EUR</t>
  </si>
  <si>
    <t>27.8. Elektrovadītspējas noteikšana ūdenī</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</si>
  <si>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 =1,30 EUR</t>
  </si>
  <si>
    <t>27.9. Granulometriskās sastāva grupas noteikšana ar lāzerdifrakcijas analīzi (pēc N.Kačinska vai FAO (2006))</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</si>
  <si>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0,217 =2,81 EUR</t>
  </si>
  <si>
    <t>27.10. Elementa satura noteikšana 0,43 M HNO3 ekstraktā ar ICP-OES (izņemot boru), pirmajam elementam</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</si>
  <si>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0,2 = 2,59 EUR</t>
  </si>
  <si>
    <t>27.11. Elementa satura noteikšana 0,43 M HNO3 ekstraktā ar ICP-OES (izņemot boru), katram nākamajam elementam</t>
  </si>
  <si>
    <t>Darbinieka, kurš veic parauga sagatavošanu,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0,007 =0,09 EUR</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</si>
  <si>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0,06 = 0,78 EUR</t>
  </si>
  <si>
    <t>Darbinieka, kurš veic datu apstrādi, darba samaksa Galvenais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0,003 =0,04 EUR</t>
  </si>
  <si>
    <t>Darbinieka, kurš veic rezultātu izsniegšanu,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0,003 =0,06 EUR</t>
  </si>
  <si>
    <t>27.12. Organisko vielu satura noteikšana sadedzinot</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</si>
  <si>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0,033 = 0,43 EUR</t>
  </si>
  <si>
    <t>27.13. reakcijas (pH) noteikšana 1 M KCl suspensijā</t>
  </si>
  <si>
    <t>27.14. nitrāta slāpekļa (NO3) satura vai amonija slāpekļa (NH4) satura noteikšanas 1 M KCl ekstraktā ar spektofotometriju un mitruma noteikšana gravimetriski (vienam elementam)</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</si>
  <si>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0,15 = 1,95 EUR</t>
  </si>
  <si>
    <t>27.15. Kopējā oglekļa satura vai neorganiskā oglekļa satura noteikšana ar elementanalizatoru (vienam elementam)</t>
  </si>
  <si>
    <t>27.16. Fosfora (P2O5) satura noteikšana 0,43 M HNO3 ekstraktā ar spektrofotometru</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</si>
  <si>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0,167 = 2,16 EUR</t>
  </si>
  <si>
    <t>26. Augsnes paraugu ņemšanas plāna projekta sagatavošana, augsnes paraugu ņemšana no apsekojamās platības
26.1. Augsnes paraugu ņemšanas plāna projekta sagatavošana augšņu agroķīmiskās izpētes vajadzībām</t>
  </si>
  <si>
    <t>26.1.1. Augsnes paraugu ņemšanas plāna projekta sagatavošana augšņu agroķīmiskās izpētes vajadzībām, 
ja apsekojamā LIZ platība nepārsniedz 20 ha (ieskaitot)</t>
  </si>
  <si>
    <t>26.1.2. Augsnes paraugu ņemšanas plāna projekta sagatavošana augšņu agroķīmiskās izpētes vajadzībām, 
ja apsekojamā LIZ platība ir lielāka par 20 ha</t>
  </si>
  <si>
    <t>26. Augsnes paraugu ņemšanas plāna projekta sagatavošana, augsnes paraugu ņemšana no apsekojamās platības</t>
  </si>
  <si>
    <t>26.2. Augsnes paraugu ņemšana no apsekojamās platības augšņu agroķīmiskās izpētes vajadzībām, veicot paraugu piesaisti koordinātām</t>
  </si>
  <si>
    <t>26.3. Augsnes punktveida zondējuma veikšana līdz 100 cm dziļumam un viena augsnes parauga ņemšana un datu fiksēšana</t>
  </si>
  <si>
    <t>27. Augsnes paraugu agroķīmiskās analīzes
27.1. Organisko vielu satura noteikšana sadedzinot, reakcijas (pH) noteikšana 1 M KCl suspensijā, fosfora (P2O5)un kālija (K2O) satura noteikšana 0,43 M HNO3 ekstraktā ar ICP-OES</t>
  </si>
  <si>
    <t>27.1.1. ja paraugu skaits nepārsniedz 100</t>
  </si>
  <si>
    <t>27.1.2. ja paraugu skaits pārsniedz 100</t>
  </si>
  <si>
    <t>27. Augsnes paraugu agroķīmiskās analīzes
27.2. Organisko vielu satura noteikšana sadedzinot, reakcijas (pH) noteikšana 1 M KCl suspensijā, fosfora (P2O5), kālija (K2O), magnija (Mg) un kalcija (Ca) satura noteikšana 0,43 M HNO3 ekstraktā ar ICP-OES</t>
  </si>
  <si>
    <t>27.2.1. ja paraugu skaits nepārsniedz 100</t>
  </si>
  <si>
    <t>27.2.2. ja paraugu skaits pārsniedz 100</t>
  </si>
  <si>
    <t>27.17. Kālija (K2O) vai nātrija (Na) satura noteikšana 0,43 M HNO3 ekstraktā ar liesmas fotometru (vienam elementam)</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</si>
  <si>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0,117 =1,52 EUR</t>
  </si>
  <si>
    <t>27.18. Magnija (Mg), kalcija (Ca), cinka (Zn), vara (Cu), mangāna (Mn) vai dzelzs (Fe) satura noteikšana 0,43 M HNO3 ekstraktā ar liesmas AAS (vienam elementam)</t>
  </si>
  <si>
    <t>Darbinieka, kurš veic parauga analizēšanu,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0,133 = 1,73 EUR</t>
  </si>
  <si>
    <t>28. Datorizēta augsnes agroķīmisko analīžu rezultātu apstrāde un novērtējuma sagatavošana</t>
  </si>
  <si>
    <t>28.1. Datorizēta augsnes agroķīmisko analīžu rezultātu apstrāde un novērtējuma sagatavošana par pamatrādītājiem (organiskās vielas, pH, augiem izmantojamais fosfors (P2O5), kālijs (K2O))</t>
  </si>
  <si>
    <t>Darbinieka, kurš veic agroķīmisko analīžu rezultātu apstrādi un novērtējuma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0,165 = 2.14 EUR</t>
  </si>
  <si>
    <t>28.2. Datorizēta augsnes agroķīmisko analīžu rezultātu apstrāde un novērtējuma sagatavošana papildus par citiem agroķīmiskajiem rādītājiem (apmaiņas magnijs (Mg), kalcijs (Ca), sērs (S-SO4), cinks (Zn), mangāns (Mn), bors (B), varš (Cu))</t>
  </si>
  <si>
    <t>Darbinieka, kurš veic agroķīmisko analīžu rezultātu apstrādi un novērtējuma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0,048 = 0,62 EUR</t>
  </si>
  <si>
    <t>28.3. Lauka agroķīmisko rādītāju vidējo svērto vērtību aprēķins</t>
  </si>
  <si>
    <t>Darbinieka, kurš veic agroķīmisko analīžu rezultātu apstrādi un novērtējuma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0,333 = 4,32 EUR</t>
  </si>
  <si>
    <t>29. Digitālās augšņu agroķīmiskās kartes sagatavošana un augšņu agroķīmiskās izpētes materiālu noformēšana ortofotokartē, izmantojot dažādus grafiskos paņēmienus, norāda augsnes pH līmeni un augiem izmantojamā fosfora un kālija saturu</t>
  </si>
  <si>
    <t>29.1. ja apsekojamā LIZ platība nepārsniedz 20 ha (ieskaitot)</t>
  </si>
  <si>
    <t>1. Digitālās augšņu kartes sagatavošana</t>
  </si>
  <si>
    <t>Darbinieka, kurš veic digitālās augšņu agroķīmiskās kartes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1 x 110/1058= 1,35 EUR</t>
  </si>
  <si>
    <t>Darbinieka, kurš veic digitālās augšņu agroķīmiskās kartes pārbaudi, darba samaksa Vadošais eksperts (kartogrāfs) (3.amatu saime, III līmenis, 9.mēnešalgu grupa, mēnešalgu skalas viduspunkts EUR 1752), vid.stundu skaits mēnesī 2024.gadā -166,92
Valsts sociālās apdrošināšanas obligātās iemaksas ( 23,59%)
Stundas likme 1752/166,92+23,59%= 12.97 EUR/h
Stundas likme x izpildes laiks = 12.97 x 0.25 x 110/1058 = 0,34 EUR</t>
  </si>
  <si>
    <t>Programmatūras licence</t>
  </si>
  <si>
    <t>1. Rezultātu izsniegšana</t>
  </si>
  <si>
    <t>Darbinieka, kurš veic rezultātu nosūtīšanu elektroniski,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0,25 x 110/1058= 0,34 EUR</t>
  </si>
  <si>
    <t>29.2. ja apsekojamā LIZ platība ir lielāka par 20 ha</t>
  </si>
  <si>
    <t>Darbinieka, kurš veic digitālās augšņu agroķīmiskās kartes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1 x 246/38287 = 0,08 EUR</t>
  </si>
  <si>
    <t>Darbinieka, kurš veic digitālās augšņu agroķīmiskās kartes pārbaudi, darba samaksa Vadošais eksperts (kartogrāfs) (3.amatu saime, III līmenis, 9.mēnešalgu grupa, mēnešalgu skalas viduspunkts EUR 1752), vid.stundu skaits mēnesī 2024.gadā -166,92
Valsts sociālās apdrošināšanas obligātās iemaksas ( 23,59%)
Stundas likme 1752/166,92+23,59%= 12.97 EUR/h
Stundas likme x izpildes laiks = 12.97 x 0.25 x 246/38287 = 0,2 EUR</t>
  </si>
  <si>
    <t>Darbinieka, kurš veic digitālās augšņu agroķīmiskās kartes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0,25 x 246/38287 = 0,02 EUR</t>
  </si>
  <si>
    <t>29.3. Paraugu ņemšanas elementārkontūru, elementārkontūru viduspunktu datu faila sagatavošana .shp formātā</t>
  </si>
  <si>
    <t>Darbinieka, kurš veic digitālās augšņu agroķīmiskās kartes sagatavošanu,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0,75 = 9,73 EUR</t>
  </si>
  <si>
    <t>Darbinieka, kurš veic digitālās augšņu agroķīmiskās kartes pārbaudi, darba samaksa Vadošais eksperts (kartogrāfs) (3.amatu saime, III līmenis, 9.mēnešalgu grupa, mēnešalgu skalas viduspunkts EUR 1752), vid.stundu skaits mēnesī 2024.gadā -166,92
Valsts sociālās apdrošināšanas obligātās iemaksas ( 23,59%)
Stundas likme 1752/166,92+23,59%= 12.97 EUR/h
Stundas likme x izpildes laiks = 12,97 x 0,2 = 2,59 EUR</t>
  </si>
  <si>
    <t>30. Rezultātu izsniegšana drukātā formātā Lielvārdes ielā 36, Rīgā</t>
  </si>
  <si>
    <t>Darbinieka, kurš veic rezutlātu izsniegšanu, darba samaksa Vadošais eksperts (kartogrāfs) (3.amatu saime, III līmenis, 9.mēnešalgu grupa, mēnešalgu skalas viduspunkts EUR 1752), vid.stundu skaits mēnesī 2024.gadā -166,92
Valsts sociālās apdrošināšanas obligātās iemaksas ( 23,59%)
Stundas likme 1752/166,92+23,59%= 12.97 EUR/h
Stundas likme x izpildes laiks = 12,97 x 0,5 = 6,49 EUR</t>
  </si>
  <si>
    <t>Materiāli dukai un iesiešanai</t>
  </si>
  <si>
    <t>31. Atbilstības pārbaude un novērtējuma sagatavošana lēmuma pieņemšanai
31.1. Laboratorijas atbilstības pārbaude</t>
  </si>
  <si>
    <t>31.1.1. Atbilstības pārbaude un novērtējuma sagatavošana lēmuma pieņemšanai par laboratorijas atzīšanu veikt analīzes augsnes agroķīmiskās izpētes vajadzībām</t>
  </si>
  <si>
    <t>Darbinieka, kurš veic dokumentu priekšizskatīšanu, novērtējumu apkopošanu, lēmuma sagatavošanu, publicēšanu un izziņošanu,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3 = 58,74 EUR</t>
  </si>
  <si>
    <t>Darbinieka, kurš veic novērtējumu, laiks ceļā,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2 = 39,16 EUR</t>
  </si>
  <si>
    <t>Darbinieka, kurš dodas klātienes vizītē,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3 =78,32 EUR</t>
  </si>
  <si>
    <t>Darbinieka, kurš pieņem lēmumu, darba samaksa - departamenta direktors (36.amatu saime, V līmenis, 12.mēnešalgu grupa, mēnešalgu skalas viduspunkts EUR 3292), vid.stundu skaits mēnesī 2024.gadā -166,92
Valsts sociālās apdrošināšanas obligātās iemaksas ( 23,59%) 
Stundas likme 3292/166,92+23,59%=24,37 EUR/h
Stundas likme x izpildes laiks = 24,37 x 0,167 = 4,07 EUR</t>
  </si>
  <si>
    <t>Ārpakalpojums: Nepieciešamās Datu apmaiņas pārbaude ar KUVIS un atzīstamās laboratorijas datu formātu, aprēķināto Koeficientu pārbaude KUVIS</t>
  </si>
  <si>
    <t>31.1.2.Atzītās laboratorijas dalība references laboratorijas organizētajā starplaboratoriju salīdzinošajā testēšanā</t>
  </si>
  <si>
    <t>Darbinieka, kurš veic augsnes paraugu ņemšanu,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2 = 25,94 EUR</t>
  </si>
  <si>
    <t>Darbinieka, kurš veic augsnes paraugu ņemšanu, laiks ceļā - darba samaksa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12.97 x 1.333 = 17.29EUR</t>
  </si>
  <si>
    <t>Darbinieka, kurš veic parauga sagatavošanu un analīzi (4 elementi: pH, organiskās vielas, fosfors un kālijs) 8 reizes atbilstoši statistikas aprēķinu nosacījumiem,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6 = 77,82 EUR</t>
  </si>
  <si>
    <t>Laboratorijas materiāli un reaģenti (birciņa, paraugu kastīte, sieti, argons, slāpekļskābe u.c.)</t>
  </si>
  <si>
    <t>Darbinieka, kurš veic parauga sagatavošanu un nosūtīšanu atzītajām laboratorijām, darba samaksa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0,5 = 6,49 EUR</t>
  </si>
  <si>
    <t>Sūtīšanas izdevumi</t>
  </si>
  <si>
    <t>Darbinieka, kurš veic saņemto paraugu apstrādi, rezultātu sagatavošanu un izziņošanu, darba samaksa -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8 = 103,76 EUR</t>
  </si>
  <si>
    <t>31. Atbilstības pārbaude un novērtējuma sagatavošana lēmuma pieņemšanai
31.2. Pakalpojuma sniedzēja atbilstības pārbaude</t>
  </si>
  <si>
    <t>31.2.1. novērtējuma sagatavošana lēmuma pieņemšanai par pakalpojuma sniedzēja atbilstību agroķīmiskās izpētes pakalpojuma sniegšanai - daļējai izpētei (lauka darbu plāna projekta izstrāde un augsnes paraugu ņemšana (A modulis))</t>
  </si>
  <si>
    <t>Darbinieka, kurš veic sagatavošanos, dokumentu priekšizskatīšanu, novērtējuma apkopošanu, lēmuma sagatavošanu, publicēšanu un izziņošanu darba samaksa -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3 = 58,74 EUR</t>
  </si>
  <si>
    <t>31.2.2. novērtējuma sagatavošana lēmuma pieņemšanai par pakalpojuma sniedzēja atbilstību agroķīmiskās izpētes pakalpojuma sniegšanai - pilnai izpētei - augsnes agroķīmiskā izpētei ar datu nodošanu dienesta KUVIS LIZ pārvaldības sistēmas augšņu agroķīmiskās izpētes datu bāzei (B modulis)</t>
  </si>
  <si>
    <t>31. Atbilstības pārbaude un novērtējuma sagatavošana lēmuma pieņemšanai
31.2. Pakalpojumu sniedzēja atbilstības pārbaude</t>
  </si>
  <si>
    <t xml:space="preserve">31.2.3. Atzītā agroķīmiskās izpētes pakalpojuma sniedzēja (A moduļa) uzraudzības pārbaude </t>
  </si>
  <si>
    <t>Darbinieka, kurš veic sagatavošanos un dokumentu priekšizskatīšanu, darba samaksa -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0,5 = 9,79 EUR</t>
  </si>
  <si>
    <t>Darbinieka, kurš dodas klātienes vizītē,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1,5 = 29,37 EUR</t>
  </si>
  <si>
    <t>Darbinieka, kurš dodas klātienes vizītē, laiks ceļā,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2 = 39,16 EUR</t>
  </si>
  <si>
    <t>Darbinieka, kurš noņem kontroles paraugu,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2 = 39,16 EUR</t>
  </si>
  <si>
    <t>Laboratorijas materiāli un reaģenti (birciņa, paraugu kastīte, sieti. argons, slāpekļskābe u.c.)</t>
  </si>
  <si>
    <t>Darbinieka, kurš veic saņemto datu apstrādi, novērojumu apkopošanu, rezultātu sagatavošanu un izziņošanu, darba samaksa -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2,75 = 35,67 EUR</t>
  </si>
  <si>
    <t xml:space="preserve">31.2.4. Atzītā agroķīmiskās izpētes pakalpojuma sniedzēja (B moduļa ) uzraudzības pārbaude </t>
  </si>
  <si>
    <t>Darbinieka, kurš veic sagatavošanos un dokumentu priekšizskatīšanu, darba samaksa - daļas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1 = 19,58 EUR</t>
  </si>
  <si>
    <t>Darbinieka, kurš veic saņemto datu apstrādi, novērojumu apkopošanu, rezultātu sagatavošanu un izziņošanu, darba samaksa -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12,97 x 3,25 = 42,15 EUR</t>
  </si>
  <si>
    <t>32. Teorētiskās un praktiskās apmācības augnses agroķīmiskās izpētes veicējiem</t>
  </si>
  <si>
    <t>Darbinieka, kurš veic teorētisko apmācību, darba samaksa daļas vadītājs (13.amatu saime, IV līmenis, 11.mēnešalgu grupa, mēnešalgu skalas viduspunkts EUR 2645), vid.stundu skaits mēnesī 2024.gadā -166,92
Valsts sociālās apdrošināšanas obligātās iemaksas ( 23,59%)
Stundas likme 2645/166,92+23,59%=19.58 EUR/h
Stundas likme x izpildes laiks / prognozētais apmācāmo skaits = 19,58 x 5 / 10 = 9,79 EUR</t>
  </si>
  <si>
    <t>Darbinieka, kurš veic praktisko apmācību, darba samaksa Vadošais eksperts (kartogrāfs) (13.amatu saime, III līmenis, 9.mēnešalgu grupa, mēnešalgu skalas viduspunkts EUR 1752), vid.stundu skaits mēnesī 2024.gadā -166,92
Valsts sociālās apdrošināšanas obligātās iemaksas ( 23,59%) 
Stundas likme 1752/166,92+23,59%=12,97 EUR/h
Stundas likme x izpildes laiks / prognozētais apmācāmo skaits = 12,97 x 2 / 10 = 2,59 EUR</t>
  </si>
  <si>
    <t>Darbinieka, kurš veic apmācību laboratorijā, darba samaksa Galvenais eksperts (ķīmiķis analītiķis) (13.amatu saime, III līmenis, 9.mēnešalgu grupa, mēnešalgu skalas viduspunkts EUR 1752), vid.stundu skaits mēnesī 2024.gadā -166,92
Valsts sociālās apdrošināšanas obligātās iemaksas ( 23,59%) 
Stundas likme 1752/166,92+23,59%=12,97 EUR/h
Stundas likme x izpildes laiks / prognozētais apmācāmo skaits = 12,97 x 1 / 10 = 1,30 EUR</t>
  </si>
  <si>
    <t>Darbinieka, kurš veic mācību materiālu sagatavošanu darba samaksa daļas vadītājs (13.amatu saime, IV līmenis, 11.mēnešalgu grupa, mēnešalgu skalas viduspunkts EUR 2645), vid.stundu skaits mēnesī 2024.gadā -166,92
Valsts sociālās apdrošināšanas obligātās iemaksas ( 23,59%)
Stundas likme 2645/166,92+23,59%=19.58 EUR/h
Stundas likme x sagatavošanas laiks / / prognozētais apmācāmo skaits = 19,58 x 20 /10 = 39,16 EUR</t>
  </si>
  <si>
    <t>Darbinieka, kurš veic apmācību, sagatavošanās laiks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2 = 39,16 EUR</t>
  </si>
  <si>
    <t>Darbinieka, kurš veic apmācību,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6 = 117,48 EUR</t>
  </si>
  <si>
    <r>
      <t>33. Dalība references laboratorijas organizētajā teorētiskajā apmācībā (grupai līdz 20 personām)</t>
    </r>
    <r>
      <rPr>
        <vertAlign val="superscript"/>
        <sz val="12"/>
        <rFont val="Times New Roman"/>
        <family val="1"/>
        <charset val="186"/>
      </rPr>
      <t>1</t>
    </r>
  </si>
  <si>
    <t>Darbinieka, kurš veic apmācību, sagatavošanās laiks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6 = 117,48 EUR</t>
  </si>
  <si>
    <t>Darbinieka, kurš veic apmācību, darba samaksa - laboratorijas vadītājs ((13.amatu saime, IV līmenis, 11.mēnešalgu grupa, mēnešalgu skalas viduspunkts EUR 2645), vid.stundu skaits mēnesī 2024.gadā -166,92
Valsts sociālās apdrošināšanas obligātās iemaksas ( 23,59%)
Stundas likme 2645/166,92+23,59%=19.58 EUR/h
Stundas likme x izpildes laiks = 19,58 x 6 = 117,48 EUR</t>
  </si>
  <si>
    <r>
      <t>34. Dalība references laboratorijas organizētajā praktiskajā apmācībā</t>
    </r>
    <r>
      <rPr>
        <vertAlign val="superscript"/>
        <sz val="12"/>
        <rFont val="Times New Roman"/>
        <family val="1"/>
        <charset val="186"/>
      </rPr>
      <t>1</t>
    </r>
  </si>
  <si>
    <t>4. Parauga analīzes sēklas kvalitātes novērtēšanai pēc pasūtītāja pieprasījuma</t>
  </si>
  <si>
    <t>4.1. Komplekts (Dīgtspēja D%, 1000 sēklu masa TSM) Labības; Eļļas augi, šķiedraugi; Lopbarības augi - zirņi, pupas, vīķi, lupīnas, eļļas rutki</t>
  </si>
  <si>
    <t>pakalpojma sniegšanas laiks</t>
  </si>
  <si>
    <t>1. Parauga pieņemšana un sagatavošana</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</si>
  <si>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0,25 = 2,41 EUR</t>
  </si>
  <si>
    <t>Laboratorijas materiāli (sejas maska, cimdi, papīra tūtas, klipšī, paraugu uzlīmes, darba kartītes u.c.)</t>
  </si>
  <si>
    <t>Laboratorijas akreditācija (ISTA)</t>
  </si>
  <si>
    <t>Analītiskās tīrības procenta noteikšana</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</si>
  <si>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0,5 = 4,82 EUR</t>
  </si>
  <si>
    <t>Laboratorijas materiāli</t>
  </si>
  <si>
    <t>Dīgtspējas analīze</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</si>
  <si>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0,75 = 7,22 EUR</t>
  </si>
  <si>
    <t>1000 sēklu masas noteikšana</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</si>
  <si>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0,133 = 1,28 EUR</t>
  </si>
  <si>
    <t>Tiešās izmaksas KOPĀ, par parauga analizēšanu:</t>
  </si>
  <si>
    <t>Darbinieka, kurš veic datu apstrādi un rezultātu izsniegšanu, darba samaksa - laboratorijas vadītājs (13. amatu saime, V līmenis, 12. mēnešalgu grupa, mēnešalgu skalas viduspunkts EUR 1752)
Vid.stundu skaits mēnesī 2024. gadā - 166,92
Valsts sociālās apdrošināšanas obligātās iemaksas ( 23,59%) 
Stundas likme 1752/166,92+23,59%= 12,97 EUR/h
Stundas likme x izpildes laiks = 12,97 x 0,083 = 1,08 EUR</t>
  </si>
  <si>
    <t>Iekārtu nolietojums</t>
  </si>
  <si>
    <t>4.3. Citu augu sēklas (CAS) Labības, Eļļas augi, šķiedraugi; Lopbarības augi - zirņi, pupas, vīķi, lupīnas, eļļas rutki</t>
  </si>
  <si>
    <t>Pakalpojuma sniegšanas laiks</t>
  </si>
  <si>
    <t>Citu augu sugu sēklu piemaisījuma noteikšana</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</si>
  <si>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1 = 9,63 EUR</t>
  </si>
  <si>
    <t>4.7. Dīgtspēja (D%) - izņemot 4.6.punktā minēto</t>
  </si>
  <si>
    <t xml:space="preserve">4. Parauga analīzes sēklas kvalitātes novērtēšanai pēc pasūtītāja pieprasījuma </t>
  </si>
  <si>
    <t>4.9. Mitruma saturs (M%) - standartmetode</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</si>
  <si>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0,333 = 3,21 EUR</t>
  </si>
  <si>
    <t>4.11. Kaitēkļu invāzijas noteikšanas (K) - visas sugas</t>
  </si>
  <si>
    <t>Kaitēkļu invāzijas noteikšana</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</si>
  <si>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0,167 = 1,61 EUR</t>
  </si>
  <si>
    <t>Reaģenti (spirts)</t>
  </si>
  <si>
    <t>4.12. Dzīvotspēja ziemāju labību sugām (Dz%)</t>
  </si>
  <si>
    <t>Dzīvotspējas noteikšana</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</si>
  <si>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1,667 = 16,05 EUR</t>
  </si>
  <si>
    <t>Laboratorijas materiāli un reaģenti (skalpelis, tetrazolijs)</t>
  </si>
  <si>
    <t>4.13. Vējauzu klātbūtnes noteikšana 3 kg labību paraugā</t>
  </si>
  <si>
    <t>1. Parauga pieņemšana un sagatavošana laboratorijā</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</si>
  <si>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3,5 = 33,71 EUR</t>
  </si>
  <si>
    <t>Laboratorijas materiāli (papīra tūtiņas)</t>
  </si>
  <si>
    <t>Citu augu sugu sēklu piemaisījuma noteikšana (B kategorija)</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</si>
  <si>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4 = 38,52 EUR</t>
  </si>
  <si>
    <t xml:space="preserve">4.5. Citu augu sēklas (CAS) Lopbarības augi izņemot 4.3. punktā minētos, atbilstoši B kategorijas prasībām </t>
  </si>
  <si>
    <t xml:space="preserve">4.4. Citu augu sēklas (CAS) - Lopbarības augi, izņemot 4.3. punktā minētos,  atbilstoši C kategorijas prasībām </t>
  </si>
  <si>
    <t>Citu augu sugu sēklu piemaisījuma noteikšana (C kategorija)</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</si>
  <si>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1,5 = 14,45 EUR</t>
  </si>
  <si>
    <t>4.2. Analītiskā tīrība (AnT%) - visas sugas</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</si>
  <si>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0,75 = 7,22 EUR</t>
  </si>
  <si>
    <t xml:space="preserve">4.6. Dīgtspēja (D%) - Dārzeņi, bietes un sugas, kas nav minētas sēklaudzēšanas un sēklu tirdzniecības noteikumos </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</si>
  <si>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1,5 = 14,45 EUR</t>
  </si>
  <si>
    <t>Laboratorijas materiāli (sejas maska, filtrpapīrs)</t>
  </si>
  <si>
    <t>3. Citu sēklu kvalitāti apliecinošo dokumentu izsniegšana (neieskaitot laboratoriskās analīzes)1 
3.1. Starptautiskā sēklu kontroles asociācijas (ISTA) sertifikāts drukātā formātā</t>
  </si>
  <si>
    <t>ISTA sertifikāta veidlapa</t>
  </si>
  <si>
    <t xml:space="preserve">3. Citu sēklu kvalitāti apliecinošo dokumentu izsniegšana (neieskaitot laboratoriskās analīzes)1 
3.2. Starptautiskā sēklu kontroles asociācijas (ISTA) e-sertifikāta izsniegšana lietojot ISTA elektronisko sertifikātu sistēmu </t>
  </si>
  <si>
    <t>Elektroniskā ISTA sertifikāta veidlapa</t>
  </si>
  <si>
    <r>
      <t>3. Citu sēklu kvalitāti apliecinošo dokumentu izsniegšana (neieskaitot laboratoriskās analīzes)</t>
    </r>
    <r>
      <rPr>
        <vertAlign val="superscript"/>
        <sz val="12"/>
        <rFont val="Times New Roman"/>
        <family val="1"/>
        <charset val="186"/>
      </rPr>
      <t xml:space="preserve">1 </t>
    </r>
    <r>
      <rPr>
        <sz val="12"/>
        <rFont val="Times New Roman"/>
        <family val="1"/>
      </rPr>
      <t xml:space="preserve">
3.4. Sēklas pavaddokumentu izsniegšana sēklai, kas nav līdz galam sertificēta (bez etiķetēm)</t>
    </r>
  </si>
  <si>
    <r>
      <t>3. Citu sēklu kvalitāti apliecinošo dokumentu izsniegšana (neieskaitot laboratoriskās analīzes)</t>
    </r>
    <r>
      <rPr>
        <vertAlign val="superscript"/>
        <sz val="12"/>
        <rFont val="Times New Roman"/>
        <family val="1"/>
        <charset val="186"/>
      </rPr>
      <t>1</t>
    </r>
    <r>
      <rPr>
        <sz val="12"/>
        <rFont val="Times New Roman"/>
        <family val="1"/>
      </rPr>
      <t xml:space="preserve"> 
3.3. Ekonomiskās sadarbības un attīstības organizācijas (OECD) sēklu sertifikāta izsniegšana (bez etiķetēm)</t>
    </r>
  </si>
  <si>
    <t xml:space="preserve">6. Sēklaudzēšanas lauku apskate1
6.2. Sēklaudzēšanas lauku apskates veikšana
6.2.3. Pirmreizēja vai atkārtota lauka apskates veikšana kartupeļiem, dārzeņiem, bietēm
6.2.3.2. Pirmreizēja lauka apskates veikšana kartupeļiem, PB1, PB2, PB3, PB4 kategorijām (trīs paredzētās  apskates reizes kopā) </t>
  </si>
  <si>
    <t>6.2.3.2.2. kartupeļiem  PB2, PB3, PB4 kategorija, laukam, ar platību līdz  2.0000 ha (ieskaitot)</t>
  </si>
  <si>
    <t>1. Lauka apskates veikšana</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</si>
  <si>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4,17 = 54,08 EUR</t>
  </si>
  <si>
    <t>Darbinieka, kurš veic lauka paskati, laiks ceļā,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=12,97 x 0,667 = 8,65 EUR</t>
  </si>
  <si>
    <t>Degviela (vidēji 30 km turp, 30 km atpakaļ, vidēji uz 60 km 4,5 litri)
Vidējā degvielas cena 1,73 EUR
Patēriņš x vienības cena = 4,5 x 1,73 = 7,79 EUR</t>
  </si>
  <si>
    <t>Materiāli (mērierīce, IAL u.c.)</t>
  </si>
  <si>
    <t>Sakaru pakalpojumi</t>
  </si>
  <si>
    <t>Tiešās izmaksas kopā lauka apskates veikšanai:</t>
  </si>
  <si>
    <t xml:space="preserve">6.2.3.2.3. kartupeļiem PB (PB1, PB2, PB3, PB4) kategorija, laukam, ar platību virs 2.0000 līdz 5.0000 ha (ieskaitot) </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</si>
  <si>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6,25 = 81,06 EUR</t>
  </si>
  <si>
    <t xml:space="preserve">6.2.3.2.4. kartupeļiem PB (PB1, PB2, PB3, PB4) kategorija, laukam, ar apsekojamo platību virs 5.0000 </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</si>
  <si>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8,33 = 108,04 EUR</t>
  </si>
  <si>
    <t>6. Sēklaudzēšanas lauku apskate1
6.2. Sēklaudzēšanas lauku apskates veikšana
6.2.3. Pirmreizēja vai atkārtota lauka apskates veikšana kartupeļiem, dārzeņiem, bietēm
6.2.3.3. Pirmreizēja lauka apskates veikšana kartupeļiem  S, SE, E kategorijām (divas paredzētās  apskates reizes kopā)</t>
  </si>
  <si>
    <t>6.2.3.3.1. kartupeļiem S, SE, E kategorija, laukam, ar platību līdz 2.0000 ha (ieskaitot)</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</si>
  <si>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2,78 = 36,06 EUR</t>
  </si>
  <si>
    <t>6.2.3.3.2. kartupeļiem S, SE, E  kategorija, laukam, ar platību virs 2.0000 līdz 5.0000 ha (ieskaitot)</t>
  </si>
  <si>
    <t xml:space="preserve">6.2.3.3.3. kartupeļiem S, SE, E  kategorija, laukam, ar platību virs 5.0000 ha (ieskaitot) </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</si>
  <si>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5,56 = 72,11 EUR</t>
  </si>
  <si>
    <t xml:space="preserve">6. Sēklaudzēšanas lauku apskate1
6.2. Sēklaudzēšanas lauku apskates veikšana
6.2.3. Pirmreizēja vai atkārtota lauka apskates veikšana kartupeļiem, dārzeņiem, bietēm
6.2.3.4. Pirmreizēja lauka apskates veikšana kartupeļiem A, B kategorija, dārzeņiem, bietēm vai atkārtotā lauka apskates veikšana kartupeļiem, dārzeņiem, bietēm (viena apskates reize) </t>
  </si>
  <si>
    <t>6.2.3.4.1. kartupeļiem A, B kategorija, laukam, ar platību līdz 2.0000 ha (ieskaitot)</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</si>
  <si>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6,94 = 90,01 EUR</t>
  </si>
  <si>
    <t xml:space="preserve">6.2.3.4.2. kartupeļiem A, B kategorija, laukam, ar platību virs 2.0000 līdz 5.0000 ha (ieskaitot) </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</si>
  <si>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2,08 = 26,98 EUR</t>
  </si>
  <si>
    <t>6.2.3.4.3. kartupeļiem A, B kategorija, laukam, ar platību virs 5.0000 līdz 20.0000 ha (ieskaitot)</t>
  </si>
  <si>
    <t>6.2.3.4.4. kartupeļiem A, B kategorija, laukam, kura platība pārsniedz 20.0000 ha</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</si>
  <si>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3,47 = 45,01 EUR</t>
  </si>
  <si>
    <t>Darbinieka, kurš veic etiķešu sagatavošanu,  darba samaksa - vecākais referents (13. amatu saime, II līmenis, 8. mēnešalgu grupa, mēnešalgu skalas viduspunkts EUR 1471)
Vid.stundu skaits mēnesī 2024. gadā - 166,92
Valsts sociālās apdrošināšanas obligātās iemaksas ( 23,59%) 
Stundas likme 1471/166,92+23,59%= 10,89 EUR/h
Stundas likme x izpildes laiks = 10,89 x 0,167 = 3,63 EUR</t>
  </si>
  <si>
    <t>8. Oficiālās etiķetes / augu pases1 
8.2. Etiķetes/ augu pases izdruka</t>
  </si>
  <si>
    <t>Materiāli (Etiķete)</t>
  </si>
  <si>
    <t xml:space="preserve">8. Oficiālās etiķetes / augu pases1 
8.3. Numurēti oficiālo etiķešu piestiprināšanas drošības aizzīmogojumi (savilcēji) </t>
  </si>
  <si>
    <t>Materiāli (Plomba)</t>
  </si>
  <si>
    <r>
      <t>12. Pārbaude fitosanitārā sertifikāta saņemšanai un sertifikāta izsniegšana (neieskaitot laboratoriskās analīzes)</t>
    </r>
    <r>
      <rPr>
        <vertAlign val="superscript"/>
        <sz val="12"/>
        <rFont val="Times New Roman"/>
        <family val="1"/>
        <charset val="186"/>
      </rPr>
      <t>1</t>
    </r>
    <r>
      <rPr>
        <sz val="12"/>
        <rFont val="Times New Roman"/>
        <family val="1"/>
      </rPr>
      <t xml:space="preserve">
12.1.3.3. griezto ziedu, zaru, dekoratīvo zaļumu pārbaude</t>
    </r>
  </si>
  <si>
    <t>12.1.3.3.1. fiziskā kravas pārbaude (ietver arī dokumentu pārbaudi un identitātes pārbaudi)</t>
  </si>
  <si>
    <t>Degviela (vidēji 20 km turp, 20 km atpakaļ, vidēji uz 40 km 3 litri)
Vidējā degvielas cena 1,73 EUR
Patēriņš x vienības cena = 3 x 1.73 = 5.19 EUR</t>
  </si>
  <si>
    <t>1. Iesnieguma saņemšana un pārbaude</t>
  </si>
  <si>
    <t>2. Pārbaudes veikšana</t>
  </si>
  <si>
    <t>3. Parauga noformēšana un nosūtīšana</t>
  </si>
  <si>
    <t>Sūtīšanas izamaksas</t>
  </si>
  <si>
    <t>Materiāli (mēģene, maiss, savilcējs u.c.)</t>
  </si>
  <si>
    <t>4. Pārbaudes akta sagatavošana</t>
  </si>
  <si>
    <t>5. Sertifikāta izsniegšana</t>
  </si>
  <si>
    <t>Tiešās izmaksas kopā pārbaudes veikšanai:</t>
  </si>
  <si>
    <t>Atalgojums kopā</t>
  </si>
  <si>
    <t>Valsts sociālās apdrošināšanas obligātās iemaksas 23,59%</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</si>
  <si>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0.5 = 6.68 EUR</t>
  </si>
  <si>
    <t>Pārbades veikšana ārpus VAAD noteiktā darba laika</t>
  </si>
  <si>
    <t>Darbinieka, kurš veic pārbaudi, laiks ceļā,  darba samaksa -vecākais inspektors (38.3. amatu saime, III līmenis, 9. mēnešalgu grupa, mēnešalgu skalas viduspunkts EUR 1797), vid.stundu skaits mēnesī 2026. gadā - 166,17
Stundas likme 1797/166.17+23.59%= 13.36 EUR/h
Stundas likme x izpildes laiks =13.36 x 0.667 = 8.91 EUR</t>
  </si>
  <si>
    <t>Darbinieka, kurš veic akta sagatavošanu, darba samaksa - vecākais inspektors (38.3. amatu saime, III līmenis, 9. mēnešalgu grupa, mēnešalgu skalas viduspunkts EUR 1797), vid.stundu skaits mēnesī 2026. gadā - 166,17
Stundas likme 1797/166.17+23.59%= 13.36 EUR/h
Stundas likme x izpildes laiks = 13.36 x 0.5 = 6.68 EUR</t>
  </si>
  <si>
    <t>"Latvijas Republikā reģistrēto augu aizsardzības līdzekļu saraksts 2026"maketēšana, vāka dizains un tipogrāfiskā iespiešana, apstrāde un piegāde</t>
  </si>
  <si>
    <r>
      <t>63. Darbīgās vielas, aizsargvielas vai sinerģista līdzvērtības novērtējums, ja Latvija ir ziņotāja dalībvalsts</t>
    </r>
    <r>
      <rPr>
        <vertAlign val="superscript"/>
        <sz val="12"/>
        <rFont val="Times New Roman"/>
        <family val="1"/>
        <charset val="186"/>
      </rPr>
      <t>1</t>
    </r>
  </si>
  <si>
    <t>1. Iesniegtās dokumentācijas pilnīguma pārbaude</t>
  </si>
  <si>
    <t>8. Oficiālās etiķetes / augu pases1 
8.1. Etiķetes sagataves izveide (izdrukai pie pasūtītāja) 1 partija</t>
  </si>
  <si>
    <t>1. Faila sagatavošana</t>
  </si>
  <si>
    <t>2. Novērtējuma sagatavošana</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</si>
  <si>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8 = 107.68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</si>
  <si>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8 = 107.68 EUR</t>
  </si>
  <si>
    <t>Augu aizsardzības līdzekļu novērtēšanas daļas vadītājs (36.amatu saime, V līmenis, 11.mēnešalgu grupa, mēnešalgu skalas viduspunkts EUR 2804), vid.stundu skaits mēnesī 2024.gadā -166.92
Stundas likme 2804/166.92=16.80 EUR/h
Stundas likme x izpildes laiks = 16.80 x 8 = 134.40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</si>
  <si>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16 = 215.36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</si>
  <si>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16 = 215.36 EUR</t>
  </si>
  <si>
    <t>Augu aizsardzības departamenta vecākais referents (36.amatu saime, IV līmenis, 10.mēnešalgu grupa, mēnešalgu skalas viduspunkts EUR 2246), vid.stundu skaits mēnesī 2024.gadā -166.92
Stundas likme 2246/166.92=13.46 EUR/h
Stundas likme x izpildes laiks = 13.46 x 8 = 107.68 EUR</t>
  </si>
  <si>
    <t>3. Lēmuma pieņemšana</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</si>
  <si>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2 = 22.26 EUR</t>
  </si>
  <si>
    <t>Augu aizsardzības līdzekļu reģistrācijas daļas vecākais referents (36.amatu saime, IV līmenis, 10.mēnešalgu grupa, mēnešalgu skalas viduspunkts EUR 2246), vid.stundu skaits mēnesī 2024.gadā -166.92
Stundas likme 2246/166.92=13.46 EUR/h
Stundas likme x izpildes laiks = 13.46 x 1 = 13.46 EUR</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</si>
  <si>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1 = 11.13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</si>
  <si>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5 = 67.30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</si>
  <si>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5 = 67.30 EUR</t>
  </si>
  <si>
    <t>Augu aizsardzības līdzekļu novērtēšanas daļas vadītājs (36.amatu saime, V līmenis, 11.mēnešalgu grupa, mēnešalgu skalas viduspunkts EUR 2804), vid.stundu skaits mēnesī 2024.gadā -166.92
Stundas likme 2804/166.92=16.80 EUR/h
Stundas likme x izpildes laiks = 16.80 x 3 = 50.40 EUR</t>
  </si>
  <si>
    <t>Augu aizsardzības departamenta vecākais referents (36.amatu saime, IV līmenis, 10.mēnešalgu grupa, mēnešalgu skalas viduspunkts EUR 2246), vid.stundu skaits mēnesī 2024.gadā -166.92
Stundas likme 2246/166.92=13.46 EUR/h
Stundas likme x izpildes laiks = 13.46 x 3 = 40.38 EUR</t>
  </si>
  <si>
    <r>
      <t>64. Darbīgās vielas, aizsargvielas vai sinerģista līdzvērtības novērtējuma pārskatīšana, ja Latvija ir ziņotāja dalībvalsts</t>
    </r>
    <r>
      <rPr>
        <vertAlign val="superscript"/>
        <sz val="12"/>
        <rFont val="Times New Roman"/>
        <family val="1"/>
        <charset val="186"/>
      </rPr>
      <t>1</t>
    </r>
  </si>
  <si>
    <r>
      <t>65. Administratīvu izmaiņu veikšana darbīgās vielas, aizsargvielas vai sinerģista līdzvērtības novērtējumā, ja Latvija ir ziņotāja dalībvalsts</t>
    </r>
    <r>
      <rPr>
        <vertAlign val="superscript"/>
        <sz val="12"/>
        <rFont val="Times New Roman"/>
        <family val="1"/>
        <charset val="186"/>
      </rPr>
      <t>1</t>
    </r>
  </si>
  <si>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5 = 67.30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</si>
  <si>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23 = 309.58 EUR</t>
  </si>
  <si>
    <t>Augu aizsardzības līdzekļu novērtēšanas daļas vadītājs (36.amatu saime, V līmenis, 11.mēnešalgu grupa, mēnešalgu skalas viduspunkts EUR 2804), vid.stundu skaits mēnesī 2024.gadā -166.92
Stundas likme 2804/166.92=16.80 EUR/h
Stundas likme x izpildes laiks = 16.80 x 2 = 33.60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</si>
  <si>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4 = 53.84 EUR</t>
  </si>
  <si>
    <t>66. Iesnieguma izskatīšana un novērtējuma sagatavošana darbīgās vielas, aizsargvielas un sinerģista apstiprināšanai vai atkārtotai apstiprināšanai saskaņā ar regulu (ES) No. 1107/2009, ja Latvija ir ziņotāja dalībvalsts</t>
  </si>
  <si>
    <t>66.1. Iesnieguma izskatīšana un iesniegtās dokumentācijas pilnīguma pārbaude</t>
  </si>
  <si>
    <t>1. Iesnieguma izskatīšana un iesniegtās dokumentācijas pilnīguma pārbaude</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</si>
  <si>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8 = 107.68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</si>
  <si>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96 = 1292.16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</si>
  <si>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96 = 1292.16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</si>
  <si>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96 = 1292.16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</si>
  <si>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96 = 1292.16 EUR</t>
  </si>
  <si>
    <t>1. Novērtējuma ziņojuma sagatavošana</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</si>
  <si>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6 = 66.78 EUR</t>
  </si>
  <si>
    <t>66.2. Novērtējuma ziņojuma sagatavošana</t>
  </si>
  <si>
    <r>
      <t>Komentāru izvērtēšana un iestrādāšana novē</t>
    </r>
    <r>
      <rPr>
        <sz val="12"/>
        <rFont val="Times New Roman"/>
        <family val="1"/>
      </rPr>
      <t>rtējumā (7</t>
    </r>
    <r>
      <rPr>
        <sz val="12"/>
        <color rgb="FF000000"/>
        <rFont val="Times New Roman"/>
        <family val="1"/>
      </rPr>
      <t xml:space="preserve"> eksperti)</t>
    </r>
  </si>
  <si>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184 = 2476.64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</si>
  <si>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500 = 6730.00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</si>
  <si>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500 = 6730.00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</si>
  <si>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500 = 6730.00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</si>
  <si>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500 = 6730.00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</si>
  <si>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500 = 6730.00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</si>
  <si>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500 = 6730.00 EUR</t>
  </si>
  <si>
    <t>Augu aizsardzības līdzekļu novērtēšanas daļas vadītājs (36.amatu saime, V līmenis, 11.mēnešalgu grupa, mēnešalgu skalas viduspunkts EUR 2804), vid.stundu skaits mēnesī 2024.gadā -166.92
Stundas likme 2804/166.92=16.80 EUR/h
Stundas likme x izpildes laiks = 16.80 x (200+248) = 7526.40 EUR</t>
  </si>
  <si>
    <t>66.3. Apstiprināšanas procedūra (Peer review and Europe decision making)</t>
  </si>
  <si>
    <t>1. Apstiprināšanas vai atkārtotas apstiprināšanas precedūra</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</si>
  <si>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240 = 3230.40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</si>
  <si>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240 = 3230.40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</si>
  <si>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240 = 3230.40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</si>
  <si>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240 = 3230.40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</si>
  <si>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240 = 3230.40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</si>
  <si>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240 = 3230.40 EUR</t>
  </si>
  <si>
    <t>Augu aizsardzības līdzekļu novērtēšanas daļas vadītājs (36.amatu saime, V līmenis, 11.mēnešalgu grupa, mēnešalgu skalas viduspunkts EUR 2804), vid.stundu skaits mēnesī 2024.gadā -166.92
Stundas likme 2804/166.92=16.80 EUR/h
Stundas likme x izpildes laiks = 16.80 x 73 = 1226.40 EUR</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</si>
  <si>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1.5 = 16.70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</si>
  <si>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96 = 1292.16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</si>
  <si>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96 = 1292.16 EUR</t>
  </si>
  <si>
    <t>Augu aizsardzības līdzekļu novērtēšanas daļas vadītājs (36.amatu saime, V līmenis, 11.mēnešalgu grupa, mēnešalgu skalas viduspunkts EUR 2804), vid.stundu skaits mēnesī 2024.gadā -166.92
Stundas likme 2804/166.92=16.80 EUR/h
Stundas likme x izpildes laiks = 16.80 x 64 = 1075.20 EUR</t>
  </si>
  <si>
    <t>Augu aizsardzības līdzekļu novērtēšanas daļas vadītājs (36.amatu saime, V līmenis, 11.mēnešalgu grupa, mēnešalgu skalas viduspunkts EUR 2804), vid.stundu skaits mēnesī 2024.gadā -166.92
Stundas likme 2804/166.92=16.80 EUR/h
Stundas likme x izpildes laiks = 16.80 x 45 = 756.00 EUR</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</si>
  <si>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16 = 178.08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</si>
  <si>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34 = 457.64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</si>
  <si>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34 = 457.64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</si>
  <si>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34 = 457.64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</si>
  <si>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34 = 457.64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</si>
  <si>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34 = 457.64 EUR</t>
  </si>
  <si>
    <t>Augu aizsardzības līdzekļu reģistrācijas daļas vecākais referents (36.amatu saime, IV līmenis, 10.mēnešalgu grupa, mēnešalgu skalas viduspunkts EUR 2246), vid.stundu skaits mēnesī 2024.gadā -166.92
Stundas likme 2246/166.92=13.46 EUR/h
Stundas likme x izpildes laiks = 13.46 x 34 = 457.64 EUR</t>
  </si>
  <si>
    <r>
      <t>68. Novērtējuma ziņojuma sagatavošana darbīgās vielas, aizsargvielas un sinerģista apstiprināšanai vai atkārtotai apstiprināšanai saskaņā ar regulu (ES) No. 1107/2009</t>
    </r>
    <r>
      <rPr>
        <vertAlign val="superscript"/>
        <sz val="12"/>
        <rFont val="Times New Roman"/>
        <family val="1"/>
      </rPr>
      <t xml:space="preserve">1
</t>
    </r>
    <r>
      <rPr>
        <sz val="12"/>
        <rFont val="Times New Roman"/>
        <family val="1"/>
        <charset val="186"/>
      </rPr>
      <t>68.1. ja Latvija ir ziņotāja dalībvalsts vai līdzziņotāja dalībvalsts un, pamatojoties uz vienošanos ar ziņotāju dalībvalsti, patstāvīgi gatavo novērtējumu par kādu no sadaļām</t>
    </r>
  </si>
  <si>
    <t>2. Novērtējuma ziņojuma sagatavošana</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</si>
  <si>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160 = 2153.60 EUR</t>
  </si>
  <si>
    <t>Augu aizsardzības līdzekļu novērtēšanas daļas vadītājs (36.amatu saime, V līmenis, 11.mēnešalgu grupa, mēnešalgu skalas viduspunkts EUR 2804), vid.stundu skaits mēnesī 2024.gadā -166.92
Stundas likme 2804/166.92=16.80 EUR/h
Stundas likme x izpildes laiks = 16.80 x 130 = 2184.00 EUR</t>
  </si>
  <si>
    <t>68.1.4. toksiskuma izvērtēšana/operatora drošība</t>
  </si>
  <si>
    <t xml:space="preserve">68.1.1. iesniegtās dokumentācijas pilnīguma pārbaude </t>
  </si>
  <si>
    <t>68.1.2. fizikāli ķīmisko īpašību un analītisko metožu izvērtēšana</t>
  </si>
  <si>
    <t>68.1.3. konfidenciālo datu izvērtēšana</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</si>
  <si>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480 = 6460.80 EUR</t>
  </si>
  <si>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120 = 1615.20 EUR</t>
  </si>
  <si>
    <t>68.1.5. atlieku izvērtēšana/patērētāju drošība</t>
  </si>
  <si>
    <t>Augu aizsardzības līdzekļu novērtēšanas daļas atlieku eksperts (36.amatu saime, IV līmenis, 10.mēnešalgu grupa, mēnešalgu skalas viduspunkts EUR 2246), vid.stundu skaits mēnesī 2024.gadā -166.92
Stundas likme 2246/166.92=13.46 EUR/h
Stundas likme x izpildes laiks = 13.46 x 480 = 6460.80 EUR</t>
  </si>
  <si>
    <t>68.1.6. ekotoksiskuma izvērtēšana</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</si>
  <si>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534 = 7187.64 EUR</t>
  </si>
  <si>
    <t>68.1.7. izplatīšanās vidē un ietekmes uz vidi izvērtēšana</t>
  </si>
  <si>
    <t>Augu aizsardzības līdzekļu novērtēšanas daļas vides eksperts (36.amatu saime, IV līmenis, 10.mēnešalgu grupa, mēnešalgu skalas viduspunkts EUR 2246), vid.stundu skaits mēnesī 2024.gadā -166.92
Stundas likme 2246/166.92=13.46 EUR/h
Stundas likme x izpildes laiks = 13.46 x 534 = 7187.64 EUR</t>
  </si>
  <si>
    <t>68.1.8. efektivitātes izvērtēšana</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</si>
  <si>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109 = 1467.14 EUR</t>
  </si>
  <si>
    <r>
      <t>68. Novērtējuma ziņojuma sagatavošana darbīgās vielas, aizsargvielas un sinerģista apstiprināšanai vai atkārtotai apstiprināšanai saskaņā ar regulu (ES) No. 1107/2009</t>
    </r>
    <r>
      <rPr>
        <vertAlign val="superscript"/>
        <sz val="12"/>
        <rFont val="Times New Roman"/>
        <family val="1"/>
      </rPr>
      <t xml:space="preserve">1
</t>
    </r>
    <r>
      <rPr>
        <sz val="12"/>
        <rFont val="Times New Roman"/>
        <family val="1"/>
        <charset val="186"/>
      </rPr>
      <t>68.2. ja Latvija ir līdzziņotāja dalībvalsts un pārskata ziņotājas dalībvalsts sagatavoto novērtējumu</t>
    </r>
  </si>
  <si>
    <t>68.2.8. efektivitātes izvērtēšana</t>
  </si>
  <si>
    <t>68.2.7. izplatīšanās vidē un ietekmes uz vidi izvērtēšana</t>
  </si>
  <si>
    <t>68.2.6. ekotoksiskuma izvērtēšana</t>
  </si>
  <si>
    <t>68.2.5. atlieku izvērtēšana/patērētāju drošība</t>
  </si>
  <si>
    <t>68.2.4. toksiskuma izvērtēšana/operatora drošība</t>
  </si>
  <si>
    <t>68.2.3. konfidenciālo datu izvērtēšana</t>
  </si>
  <si>
    <t>68.2.2. fizikāli ķīmisko īpašību un analītisko metožu izvērtēšana</t>
  </si>
  <si>
    <t xml:space="preserve">68.2.1. iesniegtās dokumentācijas pilnīguma pārbaude </t>
  </si>
  <si>
    <t>Augu aizsardzības līdzekļu reģistrācijas daļas vecākais referents (36.amatu saime, IV līmenis, 10.mēnešalgu grupa, mēnešalgu skalas viduspunkts EUR 2246), vid.stundu skaits mēnesī 2024.gadā -166.92
Stundas likme 2246/166.92=13.46 EUR/h
Stundas likme x izpildes laiks = 13.46 x 20 = 269.20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</si>
  <si>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20 = 269.20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</si>
  <si>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20 = 269.20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</si>
  <si>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20 = 269.20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</si>
  <si>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20 = 269.20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</si>
  <si>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20 = 269.20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</si>
  <si>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82 = 1103.72 EUR</t>
  </si>
  <si>
    <t>Augu aizsardzības līdzekļu novērtēšanas daļas vadītājs (36.amatu saime, V līmenis, 11.mēnešalgu grupa, mēnešalgu skalas viduspunkts EUR 2804), vid.stundu skaits mēnesī 2024.gadā -166.92
Stundas likme 2804/166.92=16.80 EUR/h
Stundas likme x izpildes laiks = 16.80 x 65 = 1092.00 EUR</t>
  </si>
  <si>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60 = 807.60 EUR</t>
  </si>
  <si>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48 = 646.08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</si>
  <si>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280 = 3768.80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</si>
  <si>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280 = 3768.80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</si>
  <si>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54 = 726.84 EUR</t>
  </si>
  <si>
    <r>
      <t>69. Maksimālā atlieku līmeņa (MAL) novērtējums, ja Latvija ir ziņotāja dalībvalsts Eiropas Savienībā vai zonā vai līdzziņotāja dalībvalsts</t>
    </r>
    <r>
      <rPr>
        <vertAlign val="superscript"/>
        <sz val="12"/>
        <rFont val="Times New Roman"/>
        <family val="1"/>
        <charset val="186"/>
      </rPr>
      <t>1</t>
    </r>
  </si>
  <si>
    <t>1. Iesnieguma saņemšana un iesniegtās dokumentācijas pilnīguma pārbaude</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</si>
  <si>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100 = 1346.00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</si>
  <si>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73 = 982.58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</si>
  <si>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200 = 2692.00 EUR</t>
  </si>
  <si>
    <t>Augu aizsardzības līdzekļu novērtēšanas daļas vadītājs (36.amatu saime, V līmenis, 11.mēnešalgu grupa, mēnešalgu skalas viduspunkts EUR 2804), vid.stundu skaits mēnesī 2024.gadā -166.92
Stundas likme 2804/166.92=16.80 EUR/h
Stundas likme x izpildes laiks = 16.80 x 56 = 940.80 EUR</t>
  </si>
  <si>
    <r>
      <t>70. Iesnieguma izskatīšana un novērtējuma sagatavošana darbīgo vielu – mikroorganismu vai feromonu –  apstiprināšanai vai atkārtotai apstiprināšanai saskaņā ar regulu (ES) No. 1107/2009 , ja Latvija ir ziņotāja dalībvalsts</t>
    </r>
    <r>
      <rPr>
        <vertAlign val="superscript"/>
        <sz val="12"/>
        <rFont val="Times New Roman"/>
        <family val="1"/>
        <charset val="186"/>
      </rPr>
      <t>1</t>
    </r>
  </si>
  <si>
    <t>70.1. iesniegtās dokumentācijas pilnīguma pārbaude novērtējuma ziņojuma sagatavošana</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</si>
  <si>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72 = 969.12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</si>
  <si>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72 = 969.12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</si>
  <si>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72 = 969.12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</si>
  <si>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72 = 969.12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</si>
  <si>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72 = 969.12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</si>
  <si>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72 = 969.12 EUR</t>
  </si>
  <si>
    <t>Augu aizsardzības līdzekļu novērtēšanas daļas vadītājs (36.amatu saime, V līmenis, 11.mēnešalgu grupa, mēnešalgu skalas viduspunkts EUR 2804), vid.stundu skaits mēnesī 2024.gadā -166.92
Stundas likme 2804/166.92=16.80 EUR/h
Stundas likme x izpildes laiks = 16.80 x 48 = 806.40 EUR</t>
  </si>
  <si>
    <t>70.2. novērtējuma ziņojuma sagatavošana</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</si>
  <si>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272 = 3661.12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</si>
  <si>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272 = 3661.12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</si>
  <si>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272 = 3661.12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</si>
  <si>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272 = 3661.12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</si>
  <si>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272 = 3661.12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</si>
  <si>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272 = 3661.12 EUR</t>
  </si>
  <si>
    <t>Komentāru izvērtēšana un iestrādāšana novērtējumā (7 eksperti)</t>
  </si>
  <si>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80 = 1076.80 EUR</t>
  </si>
  <si>
    <t>Augu aizsardzības līdzekļu novērtēšanas daļas vadītājs (36.amatu saime, V līmenis, 11.mēnešalgu grupa, mēnešalgu skalas viduspunkts EUR 2804), vid.stundu skaits mēnesī 2024.gadā -166.92
Stundas likme 2804/166.92=16.80 EUR/h
Stundas likme x izpildes laiks = 16.80 x 144 = 2419.20 EUR</t>
  </si>
  <si>
    <t>70.3. apstiprināšanas procedūra (Peer review and Europe decision making )</t>
  </si>
  <si>
    <t>3. Apstiprināšanas vai atkārtotas apstiprināšanas procedūra</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</si>
  <si>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112 = 1507.52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</si>
  <si>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112 = 1507.52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</si>
  <si>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112 = 1507.52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</si>
  <si>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112 = 1507.52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</si>
  <si>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112 = 1507.52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</si>
  <si>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112 = 1507.52 EUR</t>
  </si>
  <si>
    <t xml:space="preserve">71.1.1. iesniegtās dokumentācijas pilnīguma pārbaude </t>
  </si>
  <si>
    <r>
      <t>71. Novērtējuma ziņojuma sagatavošana darbīgo vielu – mikroorganismu vai feromonu –  apstiprināšanai vai atkārtotai apstiprināšanai saskaņā ar regulu (ES) No. 1107/2009</t>
    </r>
    <r>
      <rPr>
        <vertAlign val="superscript"/>
        <sz val="12"/>
        <rFont val="Times New Roman"/>
        <family val="1"/>
      </rPr>
      <t xml:space="preserve">1
</t>
    </r>
    <r>
      <rPr>
        <sz val="12"/>
        <rFont val="Times New Roman"/>
        <family val="1"/>
        <charset val="186"/>
      </rPr>
      <t>71.1. ja Latvija ir   līdzziņotāja dalībvalsts un, pamatojoties uz vienošanos ar ziņotāju dalībvalsti, patstāvīgi gatavo novērtējumu par kādu no sadaļām</t>
    </r>
  </si>
  <si>
    <t>71.1.2. fizikāli ķīmisko īpašību un analītisko metožu izvērtēšana</t>
  </si>
  <si>
    <t>71.1.3. konfidenciālo datu izvērtēšana</t>
  </si>
  <si>
    <t>71.1.4. toksiskuma izvērtēšana/operatora drošība</t>
  </si>
  <si>
    <t>71.1.5. atlieku izvērtēšana/patērētāju drošība</t>
  </si>
  <si>
    <r>
      <t>71. Novērtējuma ziņojuma sagatavošana darbīgo vielu – mikroorganismu vai feromonu –  apstiprināšanai vai atkārtotai apstiprināšanai saskaņā ar regulu (ES) No. 1107/2009</t>
    </r>
    <r>
      <rPr>
        <vertAlign val="superscript"/>
        <sz val="12"/>
        <rFont val="Times New Roman"/>
        <family val="1"/>
      </rPr>
      <t xml:space="preserve">1
</t>
    </r>
    <r>
      <rPr>
        <sz val="12"/>
        <rFont val="Times New Roman"/>
        <family val="1"/>
        <charset val="186"/>
      </rPr>
      <t>71.1. ja Latvija ir līdzziņotāja dalībvalsts un, pamatojoties uz vienošanos ar ziņotāju dalībvalsti, patstāvīgi gatavo novērtējumu par kādu no sadaļām</t>
    </r>
  </si>
  <si>
    <t>Augu aizsardzības līdzekļu reģistrācijas daļas vecākais referents (36.amatu saime, IV līmenis, 10.mēnešalgu grupa, mēnešalgu skalas viduspunkts EUR 2246), vid.stundu skaits mēnesī 2024.gadā -166.92
Stundas likme 2246/166.92=13.46 EUR/h
Stundas likme x izpildes laiks = 13.46 x 16 = 215.36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</si>
  <si>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16 = 215.36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</si>
  <si>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16 = 215.36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</si>
  <si>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16 = 215.36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</si>
  <si>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16 = 215.36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</si>
  <si>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104 = 1399.84 EUR</t>
  </si>
  <si>
    <t>Augu aizsardzības līdzekļu novērtēšanas daļas vadītājs (36.amatu saime, V līmenis, 11.mēnešalgu grupa, mēnešalgu skalas viduspunkts EUR 2804), vid.stundu skaits mēnesī 2024.gadā -166.92
Stundas likme 2804/166.92=16.80 EUR/h
Stundas likme x izpildes laiks = 16.80 x 88 = 1478.40 EUR</t>
  </si>
  <si>
    <t>71.1.6. ekotoksiskuma izvērtēšana</t>
  </si>
  <si>
    <t>71.1.7. izplatīšanās vidē un ietekmes uz vidi izvērtēšana</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</si>
  <si>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300 = 4038.00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</si>
  <si>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300 = 4038.00 EUR</t>
  </si>
  <si>
    <t>71.1.8. efektivitātes izvērtēšana</t>
  </si>
  <si>
    <t xml:space="preserve">71.2.1. iesniegtās dokumentācijas pilnīguma pārbaude </t>
  </si>
  <si>
    <t>71.2.2. fizikāli ķīmisko īpašību un analītisko metožu izvērtēšana</t>
  </si>
  <si>
    <t>71.2.3. konfidenciālo datu izvērtēšana</t>
  </si>
  <si>
    <t>71.2.4. toksiskuma izvērtēšana/operatora drošība</t>
  </si>
  <si>
    <t>71.2.5. atlieku izvērtēšana/patērētāju drošība</t>
  </si>
  <si>
    <t>71.2.6. ekotoksiskuma izvērtēšana</t>
  </si>
  <si>
    <t>71.2.7. izplatīšanās vidē un ietekmes uz vidi izvērtēšana</t>
  </si>
  <si>
    <t>71.2.8. efektivitātes izvērtēšana</t>
  </si>
  <si>
    <r>
      <t>71. Novērtējuma ziņojuma sagatavošana darbīgo vielu – mikroorganismu vai feromonu –  apstiprināšanai vai atkārtotai apstiprināšanai saskaņā ar regulu (ES) No. 1107/2009</t>
    </r>
    <r>
      <rPr>
        <vertAlign val="superscript"/>
        <sz val="12"/>
        <rFont val="Times New Roman"/>
        <family val="1"/>
      </rPr>
      <t xml:space="preserve">1
</t>
    </r>
    <r>
      <rPr>
        <sz val="12"/>
        <rFont val="Times New Roman"/>
        <family val="1"/>
        <charset val="186"/>
      </rPr>
      <t>71.2. ja Latvija ir līdzziņotāja dalībvalsts un pārskata ziņotājas dalībvalsts sagatavoto novērtējumu</t>
    </r>
  </si>
  <si>
    <t>Augu aizsardzības līdzekļu novērtēšanas daļas atlieku eksperts (36.amatu saime, IV līmenis, 10.mēnešalgu grupa, mēnešalgu skalas viduspunkts EUR 2246), vid.stundu skaits mēnesī 2024.gadā -166.92
Stundas likme 2246/166.92=13.46 EUR/h
Stundas likme x izpildes laiks = 13.46 x 8 = 107.68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</si>
  <si>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8 = 107.68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</si>
  <si>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8 = 107.68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</si>
  <si>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50 = 673.00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</si>
  <si>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135 = 1817.10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</si>
  <si>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135 = 1817.10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</si>
  <si>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162 = 2180.52 EUR</t>
  </si>
  <si>
    <t>Augu aizsardzības līdzekļu novērtēšanas daļas vadītājs (36.amatu saime, V līmenis, 11.mēnešalgu grupa, mēnešalgu skalas viduspunkts EUR 2804), vid.stundu skaits mēnesī 2024.gadā -166.92
Stundas likme 2804/166.92=16.80 EUR/h
Stundas likme x izpildes laiks = 16.80 x 1 = 16.80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</si>
  <si>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162 = 2180.52 EUR</t>
  </si>
  <si>
    <t>Augu aizsardzības līdzekļu reģistrācijas daļas vecākais eksperts (36.amatu saime, III līmenis, 9.mēnešalgu grupa, mēnešalgu skalas viduspunkts EUR 1857), vid.stundu skaits mēnesī 2024.gadā -166.92
Stundas likme 1857/166.92=11.13 EUR/h
Stundas likme x izpildes laiks = 11.13 x 0.5 = 5.57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</si>
  <si>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80 = 1076.80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</si>
  <si>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53 = 713.38 EUR</t>
  </si>
  <si>
    <r>
      <t>72. Darbīgās vielas jaunu datu izvērtēšana, ja Latvija ir ziņotāja dalībvalsts vai gatavo novērtējumu zonā</t>
    </r>
    <r>
      <rPr>
        <vertAlign val="superscript"/>
        <sz val="12"/>
        <rFont val="Times New Roman"/>
        <family val="1"/>
        <charset val="186"/>
      </rPr>
      <t>1</t>
    </r>
    <r>
      <rPr>
        <sz val="12"/>
        <rFont val="Times New Roman"/>
        <family val="1"/>
      </rPr>
      <t xml:space="preserve"> </t>
    </r>
  </si>
  <si>
    <t xml:space="preserve">72.1. iesniegtās dokumentācijas pilnīguma pārbaude </t>
  </si>
  <si>
    <t>Augu aizsardzības līdzekļu novērtēšanas daļas vecākais referents (36.amatu saime, IV līmenis, 10.mēnešalgu grupa, mēnešalgu skalas viduspunkts EUR 2246), vid.stundu skaits mēnesī 2024.gadā -166.92
Stundas likme 2246/166.92=13.46 EUR/h
Stundas likme x izpildes laiks = 13.46 x 8 = 107.68 EUR</t>
  </si>
  <si>
    <t>72.2. fizikāli ķīmisko īpašību un analītisko metožu izvērtēšana</t>
  </si>
  <si>
    <t>72.3. konfidenciālo datu izvērtēšana</t>
  </si>
  <si>
    <t>72.4. toksiskuma izvērtēšana/operatora drošība</t>
  </si>
  <si>
    <t>72.5. atlieku izvērtēšana/patērētāju drošība</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</si>
  <si>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104 = 1399.84 EUR</t>
  </si>
  <si>
    <t>72.6. ekotoksiskuma izvērtēšana</t>
  </si>
  <si>
    <t>72.7. izplatīšanās vidē un ietekmes uz vidi izvērtēšana</t>
  </si>
  <si>
    <t>72.8. efektivitātes izvērtēšana</t>
  </si>
  <si>
    <r>
      <t>73. Darbīgās vielas datu atbilstības izvērtēšana</t>
    </r>
    <r>
      <rPr>
        <vertAlign val="superscript"/>
        <sz val="12"/>
        <rFont val="Times New Roman"/>
        <family val="1"/>
        <charset val="186"/>
      </rPr>
      <t>1</t>
    </r>
  </si>
  <si>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24 = 323.04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</si>
  <si>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24 = 323.04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</si>
  <si>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24 = 323.04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</si>
  <si>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24 = 323.04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</si>
  <si>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24 = 323.04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</si>
  <si>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24 = 323.04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</si>
  <si>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52 = 699.92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</si>
  <si>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52 = 699.92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</si>
  <si>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52 = 699.92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</si>
  <si>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52 = 699.92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</si>
  <si>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52 = 699.92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</si>
  <si>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52 = 699.92 EUR</t>
  </si>
  <si>
    <t>Augu aizsardzības līdzekļu novērtēšanas daļas vadītājs (36.amatu saime, V līmenis, 11.mēnešalgu grupa, mēnešalgu skalas viduspunkts EUR 2804), vid.stundu skaits mēnesī 2024.gadā -166.92
Stundas likme 2804/166.92=16.80 EUR/h
Stundas likme x izpildes laiks = 16.80 x 16 = 268.80 EUR</t>
  </si>
  <si>
    <r>
      <t>74. Darbīgās vielas 4.kategorijas datu atbilstības izvērtēšana</t>
    </r>
    <r>
      <rPr>
        <vertAlign val="superscript"/>
        <sz val="12"/>
        <rFont val="Times New Roman"/>
        <family val="1"/>
        <charset val="186"/>
      </rPr>
      <t>1</t>
    </r>
  </si>
  <si>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2 = 26.92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</si>
  <si>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2 = 26.92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</si>
  <si>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2 = 26.92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</si>
  <si>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2 = 26.92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</si>
  <si>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2 = 26.92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</si>
  <si>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2 = 26.92 EUR</t>
  </si>
  <si>
    <t>Augu aizsardzības līdzekļu novērtēšanas daļas eksperts par fizikāli ķīmiskajām īpašībām (36.amatu saime, IV līmenis, 10.mēnešalgu grupa, mēnešalgu skalas viduspunkts EUR 2246), vid.stundu skaits mēnesī 2024.gadā -166.92
Stundas likme 2246/166.92=13.46 EUR/h
Stundas likme x izpildes laiks = 13.46 x 15 = 201.90 EUR</t>
  </si>
  <si>
    <t>Augu aizsardzības līdzekļu novērtēšanas daļas toksikoloģijas eksperts (36.amatu saime, IV līmenis, 10.mēnešalgu grupa, mēnešalgu skalas viduspunkts EUR 2246), vid.stundu skaits mēnesī 2024.gadā -166.92
Stundas likme 2246/166.92=13.46 EUR/h
Stundas likme x izpildes laiks = 13.46 x 15 = 201.90 EUR</t>
  </si>
  <si>
    <t>Augu aizsardzības līdzekļu novērtēšanas daļas atlieku eksperts (36.amatu saime, IV līmenis, 10.mēnešalgu grupa, mēnešalgu skalas viduspunkts EUR 2246), vid.stundu skaits mēnesī 2024.gadā -166.92
Stundas likme 2246/166.92=13.46 EUR/h
Stundas likme x izpildes laiks = 13.46 x 15 = 201.90 EUR</t>
  </si>
  <si>
    <t>Augu aizsardzības līdzekļu novērtēšanas daļas vides eksperts (36.amatu saime, IV līmenis, 10.mēnešalgu grupa, mēnešalgu skalas viduspunkts EUR 2246), vid.stundu skaits mēnesī 2024.gadā -166.92
Stundas likme 2246/166.92=13.46 EUR/h
Stundas likme x izpildes laiks = 13.46 x 15 = 201.90 EUR</t>
  </si>
  <si>
    <t>Augu aizsardzības līdzekļu novērtēšanas daļas ekotoksikoloģijas eksperts (36.amatu saime, IV līmenis, 10.mēnešalgu grupa, mēnešalgu skalas viduspunkts EUR 2246), vid.stundu skaits mēnesī 2024.gadā -166.92
Stundas likme 2246/166.92=13.46 EUR/h
Stundas likme x izpildes laiks = 13.46 x 15 = 201.90 EUR</t>
  </si>
  <si>
    <t>Augu aizsardzības līdzekļu novērtēšanas daļas efektivitātes eksperts (36.amatu saime, IV līmenis, 10.mēnešalgu grupa, mēnešalgu skalas viduspunkts EUR 2246), vid.stundu skaits mēnesī 2024.gadā -166.92
Stundas likme 2246/166.92=13.46 EUR/h
Stundas likme x izpildes laiks = 13.46 x 15 = 201.90 EUR</t>
  </si>
  <si>
    <t>Augu aizsardzības līdzekļu novērtēšanas daļas vadītājs (36.amatu saime, V līmenis, 11.mēnešalgu grupa, mēnešalgu skalas viduspunkts EUR 2804), vid.stundu skaits mēnesī 2024.gadā -166.92
Stundas likme 2804/166.92=16.80 EUR/h
Stundas likme x izpildes laiks = 16.80 x 6 = 100.80 EUR</t>
  </si>
  <si>
    <t>97. Dokumentu kopēšana (melnbalta) A4 formāts</t>
  </si>
  <si>
    <t>Materiāli (biroja papīrs, drukas iekārta, drukas iekārtu izejmateriāli)</t>
  </si>
  <si>
    <t>1. Vidējā sēklu parauga ņemšana no sertifikācijai paredzētajām sēklu partijām un paraugu analīze, lai noteiktu atbilstību sēklaudzēšanas un sēklu tirdzniecības noteikumos noteiktajām prasībām1</t>
  </si>
  <si>
    <t>1.1. Labības - visas sugas, kas minētas attiecīgās grupas sēklaudzēšanas un sēklu tirdzniecības noteikumos 
Lopbarības augi - zirņi, pupas, vīķi, lupīnas, eļļas rutki 
Eļļas augi - visas sugas, kas minētas  attiecīgās grupas sēklaudzēšanas un sēklu tirdzniecības noteikumos 
Dārzeņu sēklas - visas sugas, kas minētas attiecīgās grupas sēklaudzēšanas un sēklu tirdzniecības noteikumos</t>
  </si>
  <si>
    <t>1.1.1.ja paraugu ņemšanu veic automātiskais paraugu ņēmējs</t>
  </si>
  <si>
    <t>1. Iesnieguma izskatīšana un parauga ņemšana</t>
  </si>
  <si>
    <t>Darbinieka, kurš veic iesnieguma izskatīšanu un pārbaudi,  darba samaksa - vecākais inspektors (28.3. amatu saime, IV līmenis, 9. mēnešalgu grupa, mēnešalgu skalas viduspunkts EUR 1350)
Vid.stundu skaits mēnesī 2024. gadā - 166,92
Valsts sociālās apdrošināšanas obligātās iemaksas (23,59%) 
Stundas likme 1350/166,92+23,59%= 10,00 EUR/h
Stundas likme x izpildes laiks = 10,00 x 0,083 = 0,83 EUR</t>
  </si>
  <si>
    <t>Darbinieka, kurš veic parauga noņemšanu - vecākais inspektors (28.3. amatu saime, IV līmenis, 9. mēnešalgu grupa, mēnešalgu skalas viduspunkts EUR 1350)
Vid.stundu skaits mēnesī 2024. gadā - 166,92
Valsts sociālās apdrošināšanas obligātās iemaksas ( 23,59%) 
Stundas likme 1350/166,92+23,59%= 10,00 EUR/h
Stundas likme x izpildes laiks = 10,00 x 1 = 10,00 EUR</t>
  </si>
  <si>
    <t>Darbinieka, kurš veic parauga noņemšanu, laiks ceļā - vecākais inspektors (28.3. amatu saime, IV līmenis, 9. mēnešalgu grupa, mēnešalgu skalas viduspunkts EUR 1350)
Vid.stundu skaits mēnesī 2024. gadā - 166,92
Valsts sociālās apdrošināšanas obligātās iemaksas ( 23,59%) 
Stundas likme 1350/166,92+23,59%= 10,00 EUR/h
Stundas likme x izpildes laiks = 10,00 x 0,667 = 6,67 EUR</t>
  </si>
  <si>
    <t>Degviela  (vidēji 30 km turp, 30 km atpakaļ, vidēji uz 60 km 4,5 litri)</t>
  </si>
  <si>
    <t>Materiāli: polietilēna maisiņš, papīra tūta, aukla, plomba, etiķetes u.c.</t>
  </si>
  <si>
    <t>Tiešās izmaksas kopā iesnieguma izskatīšanai un parauga ņemšanai:</t>
  </si>
  <si>
    <t>2. Parauga sagatavošana laboratorijā</t>
  </si>
  <si>
    <t>3. Parauga analizēšana</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</si>
  <si>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0,5 = 4,82 EUR</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</si>
  <si>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0,133 = 1,28 EUR</t>
  </si>
  <si>
    <t>4. Datu apstrāde un rezultātu izsniegšana</t>
  </si>
  <si>
    <t xml:space="preserve">1.1.2. ja paraugu ņemšanu veic manuāli </t>
  </si>
  <si>
    <t>Laboratorijas materiāli (filtrpapīrs, sejas maska)</t>
  </si>
  <si>
    <t xml:space="preserve">1.1.2. ziemāju labību sēklu pagaidu pārbaude (dzīvotspēja  (Dz%)) </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</si>
  <si>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1,667 = 16,05 EUR</t>
  </si>
  <si>
    <r>
      <t>Maksas pakalpojuma izcenojums (</t>
    </r>
    <r>
      <rPr>
        <i/>
        <sz val="12"/>
        <rFont val="Times New Roman"/>
        <family val="1"/>
        <charset val="186"/>
      </rPr>
      <t>euro</t>
    </r>
    <r>
      <rPr>
        <sz val="12"/>
        <rFont val="Times New Roman"/>
        <family val="1"/>
        <charset val="186"/>
      </rPr>
      <t xml:space="preserve">) </t>
    </r>
    <r>
      <rPr>
        <i/>
        <sz val="12"/>
        <rFont val="Times New Roman"/>
        <family val="1"/>
        <charset val="186"/>
      </rPr>
      <t>(pakalpojuma izmaksas kopā, dalītas ar maksas pakalpojuma vienību skaitu noteiktā laikposmā)</t>
    </r>
  </si>
  <si>
    <r>
      <t>Prognozētie ieņēmumi gadā (</t>
    </r>
    <r>
      <rPr>
        <i/>
        <sz val="12"/>
        <rFont val="Times New Roman"/>
        <family val="1"/>
        <charset val="186"/>
      </rPr>
      <t>euro</t>
    </r>
    <r>
      <rPr>
        <sz val="12"/>
        <rFont val="Times New Roman"/>
        <family val="1"/>
        <charset val="186"/>
      </rPr>
      <t xml:space="preserve">)* </t>
    </r>
    <r>
      <rPr>
        <i/>
        <sz val="12"/>
        <rFont val="Times New Roman"/>
        <family val="1"/>
        <charset val="186"/>
      </rPr>
      <t>(prognozētais maksas pakalpojumu skaits gadā, reizināts ar maksas pakalpojuma izcenojumu)</t>
    </r>
  </si>
  <si>
    <t xml:space="preserve">1.2. Lopbarības augi, izņemot 1.1.punktā minētos, - novērtējums atbilstoši B kategorijas prasībām; 
Bietes </t>
  </si>
  <si>
    <t>1.2.1. ja paraugu ņemšanu veic automātiskais paraugu ņēmējs</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</si>
  <si>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0,5 = 4,82 EUR</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</si>
  <si>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0,75 = 7,22 EUR</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</si>
  <si>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0,133 = 1,28 EUR</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</si>
  <si>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0,333 = 3,21 EUR</t>
  </si>
  <si>
    <t>1.2.2. ja paraugu ņemšanu veic manuāli</t>
  </si>
  <si>
    <t>1.3. Lopbarības augi, izņemot 1.1.punktā minētos, - novērtējums atbilstoši C kategorijas prasībām</t>
  </si>
  <si>
    <t>1.3.1.ja paraugu ņemšanu veic automātiskais paraugu ņēmējs</t>
  </si>
  <si>
    <t>1.3.2. ja paraugu ņemšanu veic manuāli</t>
  </si>
  <si>
    <t>1.3.3. Piemaksa, ja sēklu partijas gala novērtējums ir atbilstoši C kategorijas prasībām, bet veikts arī novērtējums atbilstoši B kategorijas prasībām</t>
  </si>
  <si>
    <t xml:space="preserve">1.4. Atkārtota sēklu pārbaude tirdzniecībai paredzētajām sēklām  </t>
  </si>
  <si>
    <r>
      <t>2. Kartupeļu bumbuļu analīze (kopā ar paraugu ņemšanu)</t>
    </r>
    <r>
      <rPr>
        <vertAlign val="superscript"/>
        <sz val="12"/>
        <rFont val="Times New Roman"/>
        <family val="1"/>
        <charset val="186"/>
      </rPr>
      <t>1</t>
    </r>
  </si>
  <si>
    <t>4.8. 1000 sēklu masa (TSM) - visas sugas</t>
  </si>
  <si>
    <t>1. Parauga noņemšana</t>
  </si>
  <si>
    <t>Degviela (vidēji 30 km turp, 30 km atpakaļ, vidēji uz 60 km 4,5 litri)
Vidējā degvielas cena 1,73 EUR
Patēriņš x vienības cena = 4,5 x 1,73 = 7,79</t>
  </si>
  <si>
    <t>Izdevumi par dažādām precēm un inventāru (maisi, cimdi, bahilas)</t>
  </si>
  <si>
    <t>Izdevumi par dažādām precēm un inventāru (trafareti, spaiņi, birste, svari, nazis, IAL)</t>
  </si>
  <si>
    <t> 2242</t>
  </si>
  <si>
    <t>4.10. Mitruma saturs (M%) - ekspresmetode Labības; Eļļas augi, šķiedraugi; Lopbarības augi - zirņi, pupas, vīķi, lupīnas</t>
  </si>
  <si>
    <t>4.14. Augu sugu maisījumu komponenta dīgtspējas noteikšana, Dīgtspēja (D%) 1 komponentam</t>
  </si>
  <si>
    <t>Laboratorijas materiāli (tūtas piemaisījumiem)</t>
  </si>
  <si>
    <t>5. Vidējā sēklu (izņemot kartupeļu) parauga ņemšana sēklu kvalitātes pārbaudei pēc pasūtītāja pieprasījuma</t>
  </si>
  <si>
    <t>1. Iesnieguma izskatīšana un pārbaude</t>
  </si>
  <si>
    <t>Tiešās izmaksas kopā iesnieguma izskatīšanai:</t>
  </si>
  <si>
    <t>2. Paruagu ņemšana un sagatavošana nosūtīšanai uz laboratoriju</t>
  </si>
  <si>
    <t>Darbinieka, kurš veic parauga noņemšanu - vecākais inspektors (28.3. amatu saime, IV līmenis, 9. mēnešalgu grupa, mēnešalgu skalas viduspunkts EUR 1350)
Vid.stundu skaits mēnesī 2024. gadā - 166,92
Valsts sociālās apdrošināšanas obligātās iemaksas ( 23,59%) 
Stundas likme 1350/166,92+23,59%= 10,00 EUR/h
Stundas likme x izpildes laiks = 10,00 x 0,5 = 5,00 EUR</t>
  </si>
  <si>
    <t>Izdevumi par dažādām precēm un inventāru (maisi, tūtas, cimdi, bahilas, plombas, auklas, uzlīmes)</t>
  </si>
  <si>
    <t>Tiešās izmaksas kopā parauga ņemšanai:</t>
  </si>
  <si>
    <t> 2250</t>
  </si>
  <si>
    <t>5.1. parauga ņemšana, ja paraugu ņemšanu veic automātiskais paraugu ņēmējs</t>
  </si>
  <si>
    <t xml:space="preserve">5.2. manuāla parauga ņemšana un manuāla iedalīšana </t>
  </si>
  <si>
    <r>
      <t>6. Sēklaudzēšanas lauku apskate</t>
    </r>
    <r>
      <rPr>
        <vertAlign val="superscript"/>
        <sz val="12"/>
        <rFont val="Times New Roman"/>
        <family val="1"/>
        <charset val="186"/>
      </rPr>
      <t>1</t>
    </r>
  </si>
  <si>
    <r>
      <t>6.1. Sēklaudzēšanas lauka apskates iesnieguma iesniegšana</t>
    </r>
    <r>
      <rPr>
        <vertAlign val="superscript"/>
        <sz val="12"/>
        <color theme="1"/>
        <rFont val="Times New Roman"/>
        <family val="1"/>
        <charset val="186"/>
      </rPr>
      <t>2</t>
    </r>
  </si>
  <si>
    <t>1. Pieteikuma izskatīšana un pārbaude</t>
  </si>
  <si>
    <t>Darbinieka, kurš veic sēklaudzēšanas lauka paskates pieteikuma izskatīšanu un pārbaudi,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0,5 = 6,49 EUR</t>
  </si>
  <si>
    <t>Darbinieka, kurš veic lauku apsskates, kvalifikācijas uzturēšanas izdevumi</t>
  </si>
  <si>
    <r>
      <t>6. Sēklaudzēšanas lauku apskate</t>
    </r>
    <r>
      <rPr>
        <vertAlign val="superscript"/>
        <sz val="12"/>
        <rFont val="Times New Roman"/>
        <family val="1"/>
        <charset val="186"/>
      </rPr>
      <t>1</t>
    </r>
    <r>
      <rPr>
        <sz val="12"/>
        <rFont val="Times New Roman"/>
        <family val="1"/>
        <charset val="186"/>
      </rPr>
      <t xml:space="preserve">
6.2. Sēklaudzēšanas lauka apskates veikšana</t>
    </r>
  </si>
  <si>
    <t>6.2.1. Lauka apskates veikšana labībām, sējas zirņiem, lauka pupām, rapsim, ripsim, baltajām sinepēm, sējas liniem un sojai</t>
  </si>
  <si>
    <t>6.2.1.1. Laukam, ar platību līdz 3.0000 ha (ieskaitot)</t>
  </si>
  <si>
    <t>6.2.1.2. laukam. ar platību virs 3.0000 līdz 6.0000 ha (ieskaitot)</t>
  </si>
  <si>
    <t>6.2.1.3. laukam, ar platību virs 6.0000 līdz 10.0000 ha (ieskaitot)</t>
  </si>
  <si>
    <t>6.2.1.4. laukam, ar platību virs 10.0000 līdz 15.0000 ha (ieskaitot)</t>
  </si>
  <si>
    <t>6.2.1.5. laukam, ar platību virs 15.0000 līdz  20.0000 ha (ieskaitot)</t>
  </si>
  <si>
    <t>6.2.1.6. laukam, ar platību virs 20.0000 līdz  25.0000 ha (ieskaitot)</t>
  </si>
  <si>
    <t>6.2.1.7. laukam, ar platību virs 25.0000 līdz 30.0000 ha (ieskaitot)</t>
  </si>
  <si>
    <t>6.2.1.8. laukam, ar platību virs 30.0000 līdz 35.0000 ha (ieskaitot)</t>
  </si>
  <si>
    <t>6.2.1.11. laukam, ar platību virs 45.0000 līdz 50.0000 ha (ieskaitot)</t>
  </si>
  <si>
    <t>6.2.1.12. laukam, ar platību virs 50.0000 līdz 55.0000 ha (ieskaitot)</t>
  </si>
  <si>
    <t>6.2.1.13. laukam, kura platība pārsniedz 55.0000 ha</t>
  </si>
  <si>
    <t>6.2.2. Lauka apskates veikšana citām sugām, izņemot, kas minētas 6.2.1. vai 6.2.3.</t>
  </si>
  <si>
    <t>6.2.2.1. laukam, ar platību līdz 3.0000 ha (ieskaitot)</t>
  </si>
  <si>
    <t>6.2.2.2. laukam, ar platību virs 3.0000 līdz 6.0000 ha (ieskaitot)</t>
  </si>
  <si>
    <t>6.2.2.3. laukam, ar platību virs 6.0000 līdz 10.0000 ha (ieskaitot)</t>
  </si>
  <si>
    <t>6.2.2.4. laukam, kura platība nepārsniedz 10.0000 ha (ieskaitot)</t>
  </si>
  <si>
    <t>6.2.2.5. laukam, ar platību virs  10.0000 līdz 12.0000 ha (ieskaitot)</t>
  </si>
  <si>
    <t>6.2.2.6. laukam, ar platību virs 12.0000 līdz 14.0000 ha (ieskaitot)</t>
  </si>
  <si>
    <t>6.2.2.7. laukam, ar platību virs 14.0000 līdz 16.0000 ha (ieskaitot)</t>
  </si>
  <si>
    <t>6.2.2.8. laukam, ar platību virs 16.0000 līdz 18.0000 ha (ieskaitot)</t>
  </si>
  <si>
    <t>6.2.2.9. laukam, ar platību virs 18.0000 līdz 20.0000 ha (ieskaitot)</t>
  </si>
  <si>
    <t>6.2.2.10. laukam, ar platību virs 20.0000 līdz 22.0000 ha (ieskaitot)</t>
  </si>
  <si>
    <t>6.2.2.11. laukam, ar platību virs 22.0000 līdz 24.0000 ha (ieskaitot)</t>
  </si>
  <si>
    <t>6.2.2.12. laukam, ar platību virs 24.0000 līdz 26.0000 ha (ieskaitot)</t>
  </si>
  <si>
    <t>6.2.2.13. laukam, ar platību virs 26.0000 līdz 28.0000 ha (ieskaitot)</t>
  </si>
  <si>
    <t>6.2.2.14. laukam, ar platību virs 28.0000 līdz 30.0000 ha (ieskaitot)</t>
  </si>
  <si>
    <t>6.2.2.15. laukam, kura platība pārsniedz 28.0000 ha</t>
  </si>
  <si>
    <t xml:space="preserve">6.2.3. Pirmreizēja vai atkārtota lauka apskates veikšana kartupeļiem, dārzeņiem, bietēm  </t>
  </si>
  <si>
    <t>6.2.3.1. Pirmreizēja vai atkārtota lauka apskate kartupeļiem PBTC kategorija</t>
  </si>
  <si>
    <t>6.2.3.2.1. kartupeļiem PB1 kategorija </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</si>
  <si>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1,2275 = 15,92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</si>
  <si>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2,677 = 34,72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</si>
  <si>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4,129 = 53,55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</si>
  <si>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5,58 = 72,37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</si>
  <si>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7,031 = 91,19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</si>
  <si>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8,482 = 110,01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</si>
  <si>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9,933 = 128,83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</si>
  <si>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11,384 = 147,65 EUR</t>
  </si>
  <si>
    <t>6.2.1.9. laukam, ar platību virs 35.0000 līdz 40.0000 ha (ieskaitot)</t>
  </si>
  <si>
    <t>6.2.1.10. laukam, ar platību virs 40.0000 līdz 45.0000 ha (ieskaitot)</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</si>
  <si>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12,834 = 166.46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</si>
  <si>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14,285 = 185.28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</si>
  <si>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15,7364 = 204,10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</si>
  <si>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17,187 = 222,89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</si>
  <si>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0,827 = 10,73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</si>
  <si>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1,752 = 22,72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</si>
  <si>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3,6025 = 46,72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</si>
  <si>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4,5275 = 10,73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</si>
  <si>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5,452 = 70,71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</si>
  <si>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6,378 = 82,72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</si>
  <si>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7,303 = 94,72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</si>
  <si>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8,228 = 106,72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</si>
  <si>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9,1533 = 118,72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</si>
  <si>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10,079 = 130,72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</si>
  <si>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11,004 = 142,72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</si>
  <si>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11,929 = 154,72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</si>
  <si>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13,78 = 178,73 EUR</t>
  </si>
  <si>
    <t xml:space="preserve">7. RNQP analīzes, nosakot sēklas inficētības līmeni ar limitētajiem ierosinātājiem, ja to nenosaka Valsts augu aizsardzības dienesta laboratorijā </t>
  </si>
  <si>
    <t>7.1. Dokumentu un parauga sagatavošana nosūtīšanai ārvalstu laboratorijai</t>
  </si>
  <si>
    <t>Darbinieka, kurš veic parauga pieņemšanu un sagatavošanu,  darba samaksa - vecākais eksperts (sēklkopībā) (13. amatu saime, III līmenis, 9. mēnešalgu grupa, mēnešalgu skalas viduspunkts EUR 1752)
Vid.stundu skaits mēnesī 2024. gadā - 166,92
Valsts sociālās apdrošināšanas obligātās iemaksas ( 23,59%) 
Stundas likme 1752/166,92+23,59%= 12,97 EUR/h
Stundas likme x izpildes laiks = 12,97 x 0,5 = 6,49 EUR</t>
  </si>
  <si>
    <t>2. Datu apstrāde un rezultātu izsniegšana</t>
  </si>
  <si>
    <t>Darbinieka, kurš veic datu apstrādi un rezultātu izsniegšanu, darba samaksa - vecākais eksperts (sēklkopībā) (13. amatu saime, III līmenis, 9. mēnešalgu grupa, mēnešalgu skalas viduspunkts EUR 1752)
Vid.stundu skaits mēnesī 2024. gadā - 166,92
Valsts sociālās apdrošināšanas obligātās iemaksas ( 23,59%) 
Stundas likme 1752/166,92+23,59%= 12,97 EUR/h
Stundas likme x izpildes laiks = 12,97 x 0,25 = 3,24 EUR</t>
  </si>
  <si>
    <t>7.2. Parauga analizēšana ārvalstu laboratorijā</t>
  </si>
  <si>
    <t>7.3. Sūtīšanas izdevumi</t>
  </si>
  <si>
    <t>Parauga analizēšana ārvalstu laboratorijā</t>
  </si>
  <si>
    <t>saskaņā ar ārvalstu laboratorijas maksas pakalpojumu cenrādi </t>
  </si>
  <si>
    <t>saskaņā ar pakalpojuma sniedzēja cenrādi</t>
  </si>
  <si>
    <r>
      <t>9. Parauga ņemšana un analīze</t>
    </r>
    <r>
      <rPr>
        <vertAlign val="superscript"/>
        <sz val="12"/>
        <rFont val="Times New Roman"/>
        <family val="1"/>
        <charset val="186"/>
      </rPr>
      <t>1</t>
    </r>
  </si>
  <si>
    <t>9.8. Piemaksa, ja sēklu partijas gala novērtējums ir atbilstoši sertificētas sēklas kategorijas prasībām, bet veikts arī novērtējums atbilstoši pirmsbāzes vai bāzes kategorijas prasībām</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</si>
  <si>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2 = 26.72 EUR</t>
  </si>
  <si>
    <t>Darbinieka, kurš veic parauga noformēšanu, darba samaksa - vecākais inspektors (38.3. amatu saime, III līmenis, 9. mēnešalgu grupa, mēnešalgu skalas viduspunkts EUR 1797), vid.stundu skaits mēnesī 2026. gadā - 166,17
Stundas likme 1797/166.17+23.59%= 13.36 EUR/h
Stundas likme x izpildes laiks = 13.36 x 0.65 = 8.68 EUR</t>
  </si>
  <si>
    <t>Darbinieka, kurš veic datu apstrādi un sertifikāta izsniegšanu, darba samaksa - vecākais inspektors (38.3. amatu saime, III līmenis, 9. mēnešalgu grupa, mēnešalgu skalas viduspunkts EUR 1797), vid.stundu skaits mēnesī 2026. gadā - 166,17
Stundas likme 1797/166.17+23.59%= 13.36 EUR/h
Stundas likme x izpildes laiks = 13.36 x 0.676 = 9.03 EUR</t>
  </si>
  <si>
    <t>12.1.3.3.2. Dokumentu un identitātes pārbaude</t>
  </si>
  <si>
    <t>3. Pārbaudes akta sagatavošana</t>
  </si>
  <si>
    <r>
      <t>20. Latvijā reģistrēto augu aizsardzības līdzekļu saraksts</t>
    </r>
    <r>
      <rPr>
        <vertAlign val="superscript"/>
        <sz val="12"/>
        <rFont val="Times New Roman"/>
        <family val="1"/>
        <charset val="186"/>
      </rPr>
      <t>5</t>
    </r>
  </si>
  <si>
    <t>Saskaņā ar pakalpojuma sniedzēja līgumcenu</t>
  </si>
  <si>
    <r>
      <rPr>
        <vertAlign val="superscript"/>
        <sz val="11"/>
        <rFont val="Aptos Narrow"/>
        <family val="2"/>
        <scheme val="minor"/>
      </rPr>
      <t>5</t>
    </r>
    <r>
      <rPr>
        <sz val="11"/>
        <rFont val="Aptos Narrow"/>
        <family val="2"/>
        <scheme val="minor"/>
      </rPr>
      <t xml:space="preserve"> Cena tiek piemērota no 2027. gada 1. janvāra</t>
    </r>
  </si>
  <si>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0.25 = 3.34 EUR</t>
  </si>
  <si>
    <t>4. Sertifikāta izsniegšana</t>
  </si>
  <si>
    <t>Darbinieka, kurš veic akta sagatavošanu, darba samaksa - vecākais inspektors (38.3. amatu saime, III līmenis, 9. mēnešalgu grupa, mēnešalgu skalas viduspunkts EUR 1797), vid.stundu skaits mēnesī 2026. gadā - 166,17
Stundas likme 1797/166.17+23.59%= 13.36 EUR/h
Stundas likme x izpildes laiks = 13.36 x 0.4167= 5.57 EUR</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</si>
  <si>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0.417 = 5.57 EUR</t>
  </si>
  <si>
    <t>Darbinieka, kurš veic datu apstrādi un sertifikāta izsniegšanu, darba samaksa - vecākais inspektors (38.3. amatu saime, III līmenis, 9. mēnešalgu grupa, mēnešalgu skalas viduspunkts EUR 1797), vid.stundu skaits mēnesī 2026. gadā - 166,17
Stundas likme 1797/166.17+23.59%= 13.36 EUR/h
Stundas likme x izpildes laiks = 13.36 x 0.247 = 3.30 EUR</t>
  </si>
  <si>
    <r>
      <t>22. No kaitīgajiem organismiem, kas ES nav karantīnas organismi, brīvas audzēšanas vietas pārbaude (eksportam), bez laboratoriskās testēšanas</t>
    </r>
    <r>
      <rPr>
        <vertAlign val="superscript"/>
        <sz val="12"/>
        <rFont val="Times New Roman"/>
        <family val="1"/>
        <charset val="186"/>
      </rPr>
      <t>1</t>
    </r>
  </si>
  <si>
    <t>22.1. viena kaitīgā organisma un pret to piemērojamo pasākumu izvērtēšana</t>
  </si>
  <si>
    <t>22.2. par katru nākamo organismu</t>
  </si>
  <si>
    <t>2. Kaitīgā organisma un pret to piemērojamo pasākumu izvērtēšana</t>
  </si>
  <si>
    <t>3. Veicamo pasākumu plāna un lēmuma sagatavošana</t>
  </si>
  <si>
    <t>4. Pārbaudes veikšana</t>
  </si>
  <si>
    <t>Degviela (vidēji 30 km turp, 30 km atpakaļ, vidēji uz 60 km 4.5 litri)
Vidējā degvielas cena 1,73 EUR
Patēriņš x vienības cena = 4.5 x 1.73 = 7.79 EUR</t>
  </si>
  <si>
    <t>6. Pārbaudes akta sagatavošana</t>
  </si>
  <si>
    <t>7. Lēmums</t>
  </si>
  <si>
    <t>5. Parauga noformēšana un nosūtīšana</t>
  </si>
  <si>
    <t>Materiāli (cimdi, filtrpapīrs, maisiņš, dezinfekcijas līdzeklis)</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</si>
  <si>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2.3 = 30.73 EUR</t>
  </si>
  <si>
    <t>Darbinieka, kurš veic noteiktos darbus, darba samaksa - vecākais inspektors (38.3. amatu saime, III līmenis, 9. mēnešalgu grupa, mēnešalgu skalas viduspunkts EUR 1797), vid.stundu skaits mēnesī 2026. gadā - 166,17
Stundas likme 1797/166.17+23.59%= 13.36 EUR/h
Stundas likme x izpildes laiks = 13.36 x 3 = 40.08 EUR</t>
  </si>
  <si>
    <t>Darbinieka, kurš veic resursu ieplānošanu, darba samaksa - reģionālās nodaļas vadītājs (38.3. amatu saime, VI līmenis, 11. mēnešalgu grupa, mēnešalgu skalas viduspunkts EUR 2714), vid.stundu skaits mēnesī 2026. gadā - 166,17
Stundas likme 2714/166.17+23.59%= 20.18 EUR/h
Stundas likme x izpildes laiks = 20.18 x 0.5 = 10.09 EUR</t>
  </si>
  <si>
    <t>Darbinieka, kurš veic fizisko pārbaudi, darba samaksa - vecākais inspektors (38.3. amatu saime, III līmenis, 9. mēnešalgu grupa, mēnešalgu skalas viduspunkts EUR 1797), vid.stundu skaits mēnesī 2026. gadā - 166,17
Stundas likme 1797/166.17+23.59%= 13.36 EUR/h
Stundas likme x izpildes laiks = 13.36 x 1.5 = 20.04 EUR</t>
  </si>
  <si>
    <t>Darbinieka, kurš veic pārbaudi, laiks ceļā,  darba samaksa -vecākais inspektors (38.3. amatu saime, III līmenis, 9. mēnešalgu grupa, mēnešalgu skalas viduspunkts EUR 1797), vid.stundu skaits mēnesī 2026. gadā - 166,17
Stundas likme 1797/166.17+23.59%= 13.36 EUR/h
Stundas likme x izpildes laiks =13.36 x 1 = 13.36 EUR</t>
  </si>
  <si>
    <t>Darbinieka, kurš veic noteiktos darbus, darba samaksa - vecākais inspektors (38.3. amatu saime, III līmenis, 9. mēnešalgu grupa, mēnešalgu skalas viduspunkts EUR 1797), vid.stundu skaits mēnesī 2026. gadā - 166,17
Stundas likme 1797/166.17+23.59%= 13.36 EUR/h
Stundas likme x izpildes laiks = 13.36 x 0.93 = 12.42 EUR</t>
  </si>
  <si>
    <t>Darbinieka, kurš sagatavo un nosūta lēmumu, darba samaksa - vecākais inspektors (38.3. amatu saime, III līmenis, 9. mēnešalgu grupa, mēnešalgu skalas viduspunkts EUR 1797), vid.stundu skaits mēnesī 2026. gadā - 166,17
Stundas likme 1797/166.17+23.59%= 13.36 EUR/h
Stundas likme x izpildes laiks = 13.36 x .7 = 9.35 EUR</t>
  </si>
  <si>
    <t>Darbinieka, kurš pārskata un paraksta lēmumu, darba samaksa - departamenta direktors (36.3. amatu saime, VI līmenis, 12. mēnešalgu grupa, mēnešalgu skalas viduspunkts EUR 3377), vid.stundu skaits mēnesī 2026. gadā - 166,17
Stundas likme 3377/166.17+23.59%= 25.12 EUR/h
Stundas likme x izpildes laiks = 25.12 x .3 = 7.54 EUR</t>
  </si>
  <si>
    <t>1. Kaitīgā organisma un pret to piemērojamo pasākumu izvērtēšana</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</si>
  <si>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4.7 = 62.79 EUR</t>
  </si>
  <si>
    <t>Darbinieka, kurš izvērtē testēšanas iespējas, darba samaksa - laboratorijas eksperts (38.3. amatu saime, III līmenis, 9. mēnešalgu grupa, mēnešalgu skalas viduspunkts EUR 1797), vid.stundu skaits mēnesī 2026. gadā - 166,17
Stundas likme 1797/166.17+23.59%= 13.36 EUR/h
Stundas likme x izpildes laiks = 13.36 x 0.66 = 8.02 EUR</t>
  </si>
  <si>
    <t>Darbinieka, kurš izvērtē testēšanas iespējas, darba samaksa - laboratorijas eksperts (38.3. amatu saime, III līmenis, 9. mēnešalgu grupa, mēnešalgu skalas viduspunkts EUR 1797), vid.stundu skaits mēnesī 2026. gadā - 166,17
Stundas likme 1797/166.17+23.59%= 13.36 EUR/h
Stundas likme x izpildes laiks = 13.36 x 0.64 = 8.55 EUR</t>
  </si>
  <si>
    <t>Darbinieka, kurš veic pārbaudi, darba samaksa - vecākais inspektors (38.3. amatu saime, III līmenis, 9. mēnešalgu grupa, mēnešalgu skalas viduspunkts EUR 1797), vid.stundu skaits mēnesī 2026. gadā - 166,17
Stundas likme 1797/166.17+23.59%= 13.36 EUR/h
Stundas likme x izpildes laiks = 13.36 x 1 = 13.36 EUR</t>
  </si>
  <si>
    <t>12.3. fitosanitārā sertifikāta izsniegšana
papildus noteiktajiem izcenojumiem par pārbaudes veikšanu fitosanitārā sertifikāta saņemšanai eksportam vai reeksportam, kā arī par fitosanitārā sertifikāta izsniegšanu ārpus Valsts augu aizsardzības dienesta noteiktā darba laika piemēro izcenojumu 13.36 euro par katru kārtējo stundu (apmaksājamā vienība ir pilna stunda)</t>
  </si>
  <si>
    <t>6.2.3.2. Pirmreizēja lauka apskates veikšana kartupeļiem, PB1, PB2, PB3, PB4 kategorijām (trīs paredzētās apskates reizes kopā)</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</si>
  <si>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3 = 38,91 EUR</t>
  </si>
  <si>
    <t>Darbinieka, kurš veic lauka paskati,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1,2 = 15,56 EUR</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</si>
  <si>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 = 0,96 EUR</t>
  </si>
  <si>
    <t>Darbinieka, kurš veic parauga analizēšanu,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 = 0,96 EUR</t>
  </si>
  <si>
    <t>Darbinieka, kurš veic parauga pieņemšanu un sagatavošanu,  darba samaksa - vecākais eksperts (sēklkopībā) (13. amatu saime, III līmenis, 9. mēnešalgu grupa, mēnešalgu skalas viduspunkts EUR 1300)
Vid.stundu skaits mēnesī 2024. gadā - 166,92
Valsts sociālās apdrošināšanas obligātās iemaksas ( 23,59%) 
Stundas likme 1300/166,92+23,59%= 9,63 EUR/h
Stundas likme x izpildes laiks = 9,63 x 0,166 = 1,60 EUR</t>
  </si>
  <si>
    <t>Darbinieka, kurš veic parauga analizēšanu, darba samaksa - vecākais inspektors (28.3. amatu saime, IV līmenis, 9. mēnešalgu grupa, mēnešalgu skalas viduspunkts EUR 1350)
Vid.stundu skaits mēnesī 2024. gadā - 166,92
Valsts sociālās apdrošināšanas obligātās iemaksas ( 23,59%) 
Stundas likme 1350/166,92+23,59%= 10,00 EUR/h
Stundas likme x izpildes laiks = 10,00 x 1 = 10,00 EUR</t>
  </si>
  <si>
    <t>Izmaksas noteiktas attiecīgi kā 1.2.1. punkta (ja paraugu ņemšanu veic automātiskais paraugu ņēmējs) un 1.2.2. punkta (ja paraugu ņemšanu veic manuāli) par sertifikācijai paredzēto sēklu partijas novērtējumu atbilstoši B kategorijas prasībām un 1.3.1. punkta (ja paraugu ņemšanu veic automātiskais paraugu ņēmējs) un 1.3.2. punkta (ja paraugu ņemšanu veic manuāli) aprēķināto sertifikācijai paredzēto sēklu partijas novērtējumu atbilstoši C kategorijas prasībām aprēķinu starpību.</t>
  </si>
  <si>
    <t>2. Parauga noformēšana un nosūtīšana</t>
  </si>
  <si>
    <t>Darbinieka, kurš veic sertifikāta sagatavošanu,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 = 12,97 EUR</t>
  </si>
  <si>
    <t>Darbinieka, kurš veic sertifikāta apstirpināšanu, darba samaksa - departamenta direktors (36.amatu saime, V līmenis, 12.mēnešalgu grupa, mēnešalgu skalas viduspunkts EUR 3292), vid.stundu skaits mēnesī 2024.gadā -166,92
Valsts sociālās apdrošināšanas obligātās iemaksas ( 23,59%) 
Stundas likme 3292/166,92+23,59%=24,37 EUR/h
Stundas likme x izpildes laiks = 24,37 x 0,4 = 9,75 EUR</t>
  </si>
  <si>
    <t>Darbinieka, kurš veic pavaddokumenta sagatavošanu,  darba samaksa - vecākais inspektors (28.3. amatu saime, IV līmenis, 9. mēnešalgu grupa, mēnešalgu skalas viduspunkts EUR 1752), vid.stundu skaits mēnesī 2024. gadā - 166,92
Valsts sociālās apdrošināšanas obligātās iemaksas ( 23,59%) 
Stundas likme 1752/166,92+23,59%= 12,97 EUR/h
Stundas likme x izpildes laiks = 12,97 x 1 = 12,97 EUR</t>
  </si>
  <si>
    <t>Darbinieka, kurš veic pavaddokumenta apstirpināšanu, darba samaksa - departamenta direktors (36.amatu saime, V līmenis, 12.mēnešalgu grupa, mēnešalgu skalas viduspunkts EUR 3292), vid.stundu skaits mēnesī 2024.gadā -166,92
Valsts sociālās apdrošināšanas obligātās iemaksas ( 23,59%) 
Stundas likme 3292/166,92+23,59%=24,37 EUR/h
Stundas likme x izpildes laiks = 24,37 x 0,4 = 9,75 EUR</t>
  </si>
  <si>
    <t>1.2.1.</t>
  </si>
  <si>
    <t>1.3.1.</t>
  </si>
  <si>
    <t>1.3.3.</t>
  </si>
  <si>
    <t>1.2.2.</t>
  </si>
  <si>
    <t>1.3.2.</t>
  </si>
  <si>
    <t>Izmaksas noteiktas attiecīgi kā 9.5. punkta "sešu nekarantīnas vīrusu (PVX, PVY, PVM, PVS, PLRV, PVA) (ja testēšanā lieto ELISA metodi) un viroīda (PSTVd) noteikšanai (ja testēšanā lieto molekulāro metodi) kartupeļu sēklas materiāla sertifikācija" un  9.7. punkta "divu nekarantīnas vīrusu (PVY, PLRV) (ja testēšanā lieto ELISA metodi) un viroīda (PSTVd) noteikšanai (ja testēšanā lieto molekulāro metodi) kartupeļu sēklas materiāla sertifikācijai"  aprēķinu starpību.</t>
  </si>
  <si>
    <t>9.5.</t>
  </si>
  <si>
    <t>9.7.</t>
  </si>
  <si>
    <t>9.8.</t>
  </si>
  <si>
    <r>
      <t xml:space="preserve">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t>
    </r>
    <r>
      <rPr>
        <b/>
        <sz val="12"/>
        <rFont val="Times New Roman"/>
        <family val="1"/>
        <charset val="186"/>
      </rPr>
      <t>17.20 EUR</t>
    </r>
    <r>
      <rPr>
        <sz val="12"/>
        <rFont val="Times New Roman"/>
        <family val="1"/>
        <charset val="186"/>
      </rPr>
      <t xml:space="preserve"> apmērā.</t>
    </r>
  </si>
  <si>
    <r>
      <t xml:space="preserve">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t>
    </r>
    <r>
      <rPr>
        <b/>
        <sz val="12"/>
        <rFont val="Times New Roman"/>
        <family val="1"/>
        <charset val="186"/>
      </rPr>
      <t>13.26 EUR</t>
    </r>
    <r>
      <rPr>
        <sz val="12"/>
        <rFont val="Times New Roman"/>
        <family val="1"/>
        <charset val="186"/>
      </rPr>
      <t xml:space="preserve"> apmērā</t>
    </r>
  </si>
  <si>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7.29 EUR apmērā</t>
  </si>
  <si>
    <r>
      <t xml:space="preserve">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t>
    </r>
    <r>
      <rPr>
        <b/>
        <sz val="12"/>
        <rFont val="Times New Roman"/>
        <family val="1"/>
        <charset val="186"/>
      </rPr>
      <t>15.31 EUR</t>
    </r>
    <r>
      <rPr>
        <sz val="12"/>
        <rFont val="Times New Roman"/>
        <family val="1"/>
        <charset val="186"/>
      </rPr>
      <t xml:space="preserve"> apmērā</t>
    </r>
  </si>
  <si>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36.42 EUR apmērā</t>
  </si>
  <si>
    <r>
      <t xml:space="preserve">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t>
    </r>
    <r>
      <rPr>
        <b/>
        <sz val="12"/>
        <color theme="1"/>
        <rFont val="Times New Roman"/>
        <family val="1"/>
        <charset val="186"/>
      </rPr>
      <t>30.45 EUR apmērā</t>
    </r>
  </si>
  <si>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45.77 EUR apmērā</t>
  </si>
  <si>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51.74 EUR apmērā</t>
  </si>
  <si>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34.77 EUR apmērā</t>
  </si>
  <si>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40.74 EUR apmērā</t>
  </si>
  <si>
    <t>Saskaņā ar Administratīvā procesa likuma 62. panta pirmo daļu dienests cenrāža izstrādes procesā organizēja konsultācijas un uzklausīja nozares nevalstisko organizāciju un selekcijas jomas pārstāvju viedokļus par izstrādāto cenrāža projektu un uz savstarpējo vienošanos tika noteikts pagaidu cenas samazinājums  un noteikts  izcenojums 27.04 EUR apmērā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</si>
</sst>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Aptos Narrow"/>
      <family val="2"/>
      <charset val="186"/>
      <scheme val="minor"/>
    </font>
    <font>
      <sz val="12"/>
      <name val="Times New Roman"/>
      <family val="1"/>
    </font>
    <font>
      <i/>
      <sz val="12"/>
      <name val="Times New Roman"/>
      <family val="1"/>
    </font>
    <font>
      <sz val="10"/>
      <name val="Arial"/>
      <family val="2"/>
    </font>
    <font>
      <sz val="12"/>
      <color rgb="FF000000"/>
      <name val="Times New Roman"/>
      <family val="1"/>
    </font>
    <font>
      <sz val="12"/>
      <color theme="1"/>
      <name val="Times New Roman"/>
      <family val="1"/>
    </font>
    <font>
      <b/>
      <sz val="12"/>
      <name val="Times New Roman"/>
      <family val="1"/>
    </font>
    <font>
      <sz val="12"/>
      <color theme="1"/>
      <name val="Aptos Narrow"/>
      <family val="2"/>
      <charset val="186"/>
      <scheme val="minor"/>
    </font>
    <font>
      <sz val="10"/>
      <name val="Times New Roman"/>
      <family val="1"/>
    </font>
    <font>
      <sz val="12"/>
      <name val="Times New Roman"/>
      <family val="1"/>
      <charset val="186"/>
    </font>
    <font>
      <vertAlign val="superscript"/>
      <sz val="12"/>
      <name val="Times New Roman"/>
      <family val="1"/>
      <charset val="186"/>
    </font>
    <font>
      <sz val="12"/>
      <color rgb="FF000000"/>
      <name val="Times New Roman"/>
      <family val="1"/>
      <charset val="186"/>
    </font>
    <font>
      <sz val="10"/>
      <color rgb="FF000000"/>
      <name val="Times New Roman"/>
      <family val="1"/>
    </font>
    <font>
      <sz val="12"/>
      <color rgb="FFFF0000"/>
      <name val="Times New Roman"/>
      <family val="1"/>
      <charset val="186"/>
    </font>
    <font>
      <b/>
      <sz val="12"/>
      <name val="Times New Roman"/>
      <family val="1"/>
      <charset val="186"/>
    </font>
    <font>
      <vertAlign val="superscript"/>
      <sz val="12"/>
      <name val="Times New Roman"/>
      <family val="1"/>
    </font>
    <font>
      <b/>
      <sz val="12"/>
      <color rgb="FF000000"/>
      <name val="Times New Roman"/>
      <family val="1"/>
    </font>
    <font>
      <i/>
      <sz val="12"/>
      <name val="Times New Roman"/>
      <family val="1"/>
      <charset val="186"/>
    </font>
    <font>
      <b/>
      <sz val="12"/>
      <color rgb="FF000000"/>
      <name val="Times New Roman"/>
      <family val="1"/>
      <charset val="186"/>
    </font>
    <font>
      <sz val="12"/>
      <color theme="1"/>
      <name val="Times New Roman"/>
      <family val="1"/>
      <charset val="186"/>
    </font>
    <font>
      <sz val="12"/>
      <color theme="5" tint="-0.249977111117893"/>
      <name val="Times New Roman"/>
      <family val="1"/>
      <charset val="186"/>
    </font>
    <font>
      <vertAlign val="superscript"/>
      <sz val="12"/>
      <color theme="1"/>
      <name val="Times New Roman"/>
      <family val="1"/>
      <charset val="186"/>
    </font>
    <font>
      <sz val="10"/>
      <color rgb="FF000000"/>
      <name val="Times New Roman"/>
      <family val="1"/>
      <charset val="186"/>
    </font>
    <font>
      <sz val="11"/>
      <name val="Aptos Narrow"/>
      <family val="2"/>
      <charset val="186"/>
      <scheme val="minor"/>
    </font>
    <font>
      <sz val="11"/>
      <name val="Aptos Narrow"/>
      <family val="2"/>
      <scheme val="minor"/>
    </font>
    <font>
      <vertAlign val="superscript"/>
      <sz val="11"/>
      <name val="Aptos Narrow"/>
      <family val="2"/>
      <scheme val="minor"/>
    </font>
    <font>
      <b/>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FF"/>
        <bgColor rgb="FFFFFFFF"/>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269">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1" applyFont="1" applyFill="1" applyBorder="1" applyAlignment="1">
      <alignment horizontal="center" vertical="center" wrapText="1"/>
    </xf>
    <xf numFmtId="0" fontId="1" fillId="3" borderId="1" xfId="0" applyFont="1" applyFill="1" applyBorder="1" applyAlignment="1">
      <alignment horizontal="left"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right" vertical="center" wrapText="1"/>
    </xf>
    <xf numFmtId="2" fontId="1" fillId="2" borderId="1"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justify" vertical="center" wrapText="1"/>
    </xf>
    <xf numFmtId="2" fontId="1" fillId="2" borderId="2" xfId="0"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justify" vertical="center" wrapText="1"/>
    </xf>
    <xf numFmtId="0" fontId="1" fillId="2" borderId="1" xfId="1"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0" fontId="6" fillId="2" borderId="1" xfId="0" applyFont="1" applyFill="1" applyBorder="1" applyAlignment="1">
      <alignment horizontal="right" vertical="center" wrapText="1"/>
    </xf>
    <xf numFmtId="2" fontId="1" fillId="2" borderId="5" xfId="0" applyNumberFormat="1" applyFont="1" applyFill="1" applyBorder="1" applyAlignment="1">
      <alignment horizontal="center" vertical="center"/>
    </xf>
    <xf numFmtId="2" fontId="1" fillId="2" borderId="7"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2"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0" borderId="0" xfId="0" applyFont="1" applyAlignment="1">
      <alignment horizontal="justify" vertical="center" readingOrder="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1" applyFont="1" applyBorder="1" applyAlignment="1">
      <alignment horizontal="center" vertical="center" wrapText="1"/>
    </xf>
    <xf numFmtId="0" fontId="1" fillId="0" borderId="1" xfId="0" applyFont="1" applyBorder="1" applyAlignment="1">
      <alignment horizontal="right" vertical="center" wrapText="1"/>
    </xf>
    <xf numFmtId="0" fontId="1" fillId="0" borderId="1" xfId="1"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6" fillId="0" borderId="1" xfId="0" applyFont="1" applyBorder="1" applyAlignment="1">
      <alignment horizontal="right" vertical="center" wrapText="1"/>
    </xf>
    <xf numFmtId="0" fontId="1" fillId="0" borderId="5" xfId="0" applyFont="1" applyBorder="1" applyAlignment="1">
      <alignment horizontal="center" vertical="center"/>
    </xf>
    <xf numFmtId="2" fontId="1" fillId="0" borderId="7" xfId="0" applyNumberFormat="1"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vertical="center" wrapText="1"/>
    </xf>
    <xf numFmtId="0" fontId="8" fillId="0" borderId="0" xfId="0" applyFont="1" applyAlignment="1">
      <alignment horizontal="center" vertical="center" wrapText="1"/>
    </xf>
    <xf numFmtId="0" fontId="6" fillId="0" borderId="1" xfId="0" applyFont="1" applyBorder="1" applyAlignment="1">
      <alignment horizontal="left" vertical="center" wrapText="1"/>
    </xf>
    <xf numFmtId="0" fontId="8" fillId="0" borderId="11" xfId="0" applyFont="1" applyBorder="1" applyAlignment="1">
      <alignment horizontal="center" vertical="center" wrapText="1"/>
    </xf>
    <xf numFmtId="0" fontId="1" fillId="0" borderId="11" xfId="0" applyFont="1" applyBorder="1" applyAlignment="1">
      <alignment horizontal="center" vertical="center" wrapText="1"/>
    </xf>
    <xf numFmtId="2" fontId="1" fillId="0" borderId="5"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Border="1" applyAlignment="1">
      <alignment vertical="center" wrapText="1"/>
    </xf>
    <xf numFmtId="0" fontId="1" fillId="0" borderId="4" xfId="0" applyFont="1" applyBorder="1" applyAlignment="1">
      <alignment vertical="center" wrapText="1"/>
    </xf>
    <xf numFmtId="2" fontId="1" fillId="0" borderId="4" xfId="0" applyNumberFormat="1" applyFont="1" applyBorder="1" applyAlignment="1">
      <alignment horizontal="center" vertical="center" wrapText="1"/>
    </xf>
    <xf numFmtId="0" fontId="1" fillId="0" borderId="4" xfId="0" applyFont="1" applyBorder="1" applyAlignment="1">
      <alignment horizontal="right" vertical="center" wrapText="1"/>
    </xf>
    <xf numFmtId="0" fontId="1" fillId="0" borderId="12" xfId="1" applyFont="1" applyBorder="1" applyAlignment="1">
      <alignment horizontal="justify" vertical="center" wrapText="1"/>
    </xf>
    <xf numFmtId="0" fontId="6" fillId="0" borderId="4" xfId="0" applyFont="1" applyBorder="1" applyAlignment="1">
      <alignment horizontal="right" vertical="center" wrapText="1"/>
    </xf>
    <xf numFmtId="0" fontId="1" fillId="0" borderId="13" xfId="0" applyFont="1" applyBorder="1" applyAlignment="1">
      <alignment vertical="center" wrapText="1"/>
    </xf>
    <xf numFmtId="0" fontId="1" fillId="0" borderId="14"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horizontal="center" vertical="center" wrapText="1"/>
    </xf>
    <xf numFmtId="0" fontId="1" fillId="0" borderId="5" xfId="1" applyFont="1" applyBorder="1" applyAlignment="1">
      <alignment horizontal="justify" vertical="center" wrapText="1"/>
    </xf>
    <xf numFmtId="0" fontId="1" fillId="0" borderId="3" xfId="1" applyFont="1" applyBorder="1" applyAlignment="1">
      <alignment horizontal="justify" vertical="center" wrapText="1"/>
    </xf>
    <xf numFmtId="0" fontId="2" fillId="0" borderId="15" xfId="0" applyFont="1" applyBorder="1" applyAlignment="1">
      <alignment vertical="center" wrapText="1"/>
    </xf>
    <xf numFmtId="0" fontId="1" fillId="0" borderId="16" xfId="0" applyFont="1" applyBorder="1" applyAlignment="1">
      <alignment horizontal="center" vertical="center" wrapText="1"/>
    </xf>
    <xf numFmtId="0" fontId="1" fillId="0" borderId="17" xfId="0" applyFont="1" applyBorder="1" applyAlignment="1">
      <alignment vertical="center" wrapText="1"/>
    </xf>
    <xf numFmtId="2" fontId="1" fillId="0" borderId="18" xfId="0" applyNumberFormat="1" applyFont="1" applyBorder="1" applyAlignment="1">
      <alignment horizontal="center" vertical="center" wrapText="1"/>
    </xf>
    <xf numFmtId="2" fontId="1" fillId="0" borderId="19" xfId="0" applyNumberFormat="1" applyFont="1" applyBorder="1" applyAlignment="1">
      <alignment horizontal="center" vertical="center" wrapText="1"/>
    </xf>
    <xf numFmtId="0" fontId="2" fillId="0" borderId="20" xfId="0" applyFont="1" applyBorder="1" applyAlignment="1">
      <alignment vertical="center" wrapText="1"/>
    </xf>
    <xf numFmtId="0" fontId="6" fillId="0" borderId="21" xfId="0" applyFont="1"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0" borderId="24" xfId="0" applyFont="1" applyBorder="1" applyAlignment="1">
      <alignment vertical="center" wrapText="1"/>
    </xf>
    <xf numFmtId="0" fontId="6" fillId="0" borderId="5" xfId="0" applyFont="1" applyBorder="1" applyAlignment="1">
      <alignment horizontal="left" vertical="center" wrapText="1"/>
    </xf>
    <xf numFmtId="0" fontId="1" fillId="0" borderId="14" xfId="0" applyFont="1" applyBorder="1" applyAlignment="1">
      <alignment horizontal="left" vertical="center" wrapText="1"/>
    </xf>
    <xf numFmtId="2" fontId="1" fillId="0" borderId="25"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justify" vertical="center" wrapText="1"/>
    </xf>
    <xf numFmtId="2" fontId="1" fillId="0" borderId="28" xfId="0" applyNumberFormat="1" applyFont="1" applyBorder="1" applyAlignment="1">
      <alignment horizontal="center" vertical="center" wrapText="1"/>
    </xf>
    <xf numFmtId="0" fontId="1" fillId="0" borderId="3" xfId="1" applyFont="1" applyBorder="1" applyAlignment="1">
      <alignment horizontal="center" vertical="center" wrapText="1"/>
    </xf>
    <xf numFmtId="1" fontId="1" fillId="0" borderId="7" xfId="0" applyNumberFormat="1" applyFont="1" applyBorder="1" applyAlignment="1">
      <alignment horizontal="center" vertical="center"/>
    </xf>
    <xf numFmtId="1" fontId="1" fillId="0" borderId="5" xfId="0" applyNumberFormat="1" applyFont="1" applyBorder="1" applyAlignment="1">
      <alignment horizontal="center" vertical="center"/>
    </xf>
    <xf numFmtId="0" fontId="9" fillId="0" borderId="3" xfId="0" applyFont="1" applyBorder="1" applyAlignment="1">
      <alignment horizontal="center" vertical="center" wrapText="1"/>
    </xf>
    <xf numFmtId="0" fontId="9" fillId="0" borderId="29" xfId="0" applyFont="1" applyBorder="1" applyAlignment="1">
      <alignment horizontal="center" vertical="center" wrapText="1"/>
    </xf>
    <xf numFmtId="2" fontId="1" fillId="0" borderId="1" xfId="0" applyNumberFormat="1" applyFont="1" applyBorder="1" applyAlignment="1">
      <alignment horizontal="center" vertical="center"/>
    </xf>
    <xf numFmtId="0" fontId="1" fillId="0" borderId="12" xfId="1" applyFont="1" applyBorder="1" applyAlignment="1">
      <alignment horizontal="center" vertical="center" wrapText="1"/>
    </xf>
    <xf numFmtId="0" fontId="1" fillId="0" borderId="12" xfId="0" applyFont="1" applyBorder="1" applyAlignment="1">
      <alignment horizontal="left" vertical="center" wrapText="1"/>
    </xf>
    <xf numFmtId="2" fontId="1" fillId="0" borderId="5" xfId="0" applyNumberFormat="1" applyFont="1" applyBorder="1" applyAlignment="1">
      <alignment horizontal="center" vertical="center" wrapText="1"/>
    </xf>
    <xf numFmtId="0" fontId="2" fillId="0" borderId="5"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5" xfId="0" applyFont="1" applyBorder="1" applyAlignment="1">
      <alignment horizontal="center" vertical="center" wrapText="1"/>
    </xf>
    <xf numFmtId="0" fontId="6" fillId="0" borderId="5" xfId="0" applyFont="1" applyBorder="1" applyAlignment="1">
      <alignment horizontal="right" vertical="center"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2" fontId="1" fillId="0" borderId="2" xfId="0" applyNumberFormat="1" applyFont="1" applyBorder="1" applyAlignment="1">
      <alignment horizontal="center" vertical="center" wrapText="1"/>
    </xf>
    <xf numFmtId="0" fontId="1" fillId="0" borderId="30" xfId="0" applyFont="1" applyBorder="1" applyAlignment="1">
      <alignment horizontal="left" vertical="center" wrapText="1"/>
    </xf>
    <xf numFmtId="2" fontId="1" fillId="0" borderId="8"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left" vertical="center" wrapText="1"/>
    </xf>
    <xf numFmtId="2" fontId="1" fillId="0" borderId="32" xfId="0" applyNumberFormat="1" applyFont="1" applyBorder="1" applyAlignment="1">
      <alignment horizontal="center" vertical="center"/>
    </xf>
    <xf numFmtId="2" fontId="1" fillId="0" borderId="33" xfId="0" applyNumberFormat="1" applyFont="1" applyBorder="1" applyAlignment="1">
      <alignment horizontal="center" vertical="center" wrapText="1"/>
    </xf>
    <xf numFmtId="0" fontId="1" fillId="0" borderId="5" xfId="0" applyFont="1" applyBorder="1" applyAlignment="1">
      <alignment vertical="center"/>
    </xf>
    <xf numFmtId="2" fontId="1" fillId="0" borderId="3"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vertical="center" wrapText="1"/>
    </xf>
    <xf numFmtId="0" fontId="1" fillId="0" borderId="12" xfId="0" applyFont="1" applyBorder="1" applyAlignment="1">
      <alignment vertical="center" wrapText="1"/>
    </xf>
    <xf numFmtId="2" fontId="1" fillId="0" borderId="12" xfId="0" applyNumberFormat="1" applyFont="1" applyBorder="1" applyAlignment="1">
      <alignment horizontal="center" vertical="center" wrapText="1"/>
    </xf>
    <xf numFmtId="0" fontId="11" fillId="0" borderId="34" xfId="0" applyFont="1" applyBorder="1" applyAlignment="1">
      <alignment horizontal="center" vertical="center"/>
    </xf>
    <xf numFmtId="0" fontId="9" fillId="0" borderId="12" xfId="0" applyFont="1" applyBorder="1" applyAlignment="1">
      <alignment horizontal="left" vertical="center"/>
    </xf>
    <xf numFmtId="0" fontId="1" fillId="0" borderId="12" xfId="0" applyFont="1" applyBorder="1" applyAlignment="1">
      <alignment horizontal="right" vertical="center" wrapText="1"/>
    </xf>
    <xf numFmtId="2"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vertical="center" wrapText="1"/>
    </xf>
    <xf numFmtId="0" fontId="1" fillId="0" borderId="12" xfId="0" applyFont="1" applyBorder="1" applyAlignment="1">
      <alignment vertical="center"/>
    </xf>
    <xf numFmtId="0" fontId="1" fillId="0" borderId="12" xfId="0" applyFont="1" applyBorder="1" applyAlignment="1">
      <alignment horizontal="justify"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6" fillId="0" borderId="12" xfId="0" applyFont="1" applyBorder="1" applyAlignment="1">
      <alignment horizontal="right" vertical="center" wrapText="1"/>
    </xf>
    <xf numFmtId="0" fontId="11" fillId="0" borderId="12" xfId="0" applyFont="1" applyBorder="1" applyAlignment="1">
      <alignment horizontal="center" vertical="center"/>
    </xf>
    <xf numFmtId="0" fontId="12" fillId="0" borderId="5" xfId="0" applyFont="1" applyBorder="1" applyAlignment="1">
      <alignment horizontal="center" vertical="center"/>
    </xf>
    <xf numFmtId="0" fontId="1" fillId="0" borderId="1" xfId="0" applyFont="1" applyBorder="1" applyAlignment="1">
      <alignment horizontal="justify"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wrapText="1"/>
    </xf>
    <xf numFmtId="0" fontId="1" fillId="0" borderId="3"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4" fillId="0" borderId="1" xfId="0" applyFont="1" applyBorder="1" applyAlignment="1">
      <alignment horizontal="left" vertical="center" wrapText="1"/>
    </xf>
    <xf numFmtId="2" fontId="9" fillId="2" borderId="5" xfId="0" applyNumberFormat="1" applyFont="1" applyFill="1" applyBorder="1" applyAlignment="1">
      <alignment horizontal="center" vertical="center"/>
    </xf>
    <xf numFmtId="0" fontId="4" fillId="0" borderId="37" xfId="0" applyFont="1" applyBorder="1" applyAlignment="1">
      <alignment vertical="center" wrapText="1"/>
    </xf>
    <xf numFmtId="164" fontId="1" fillId="0" borderId="1"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9" fillId="0" borderId="0" xfId="0" applyFont="1" applyAlignment="1">
      <alignment horizontal="justify" vertical="center" readingOrder="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17" fillId="0" borderId="12" xfId="0" applyFont="1" applyBorder="1" applyAlignment="1">
      <alignment vertical="center" wrapText="1"/>
    </xf>
    <xf numFmtId="0" fontId="9" fillId="0" borderId="12" xfId="0" applyFont="1" applyBorder="1" applyAlignment="1">
      <alignment vertical="center"/>
    </xf>
    <xf numFmtId="0" fontId="9" fillId="0" borderId="12" xfId="1" applyFont="1" applyBorder="1" applyAlignment="1">
      <alignment horizontal="center" vertical="center" wrapText="1"/>
    </xf>
    <xf numFmtId="0" fontId="9" fillId="0" borderId="12" xfId="0" applyFont="1" applyBorder="1" applyAlignment="1">
      <alignment horizontal="left" vertical="center" wrapText="1"/>
    </xf>
    <xf numFmtId="2" fontId="9" fillId="0" borderId="12" xfId="0" applyNumberFormat="1" applyFont="1" applyBorder="1" applyAlignment="1">
      <alignment horizontal="center" vertical="center" wrapText="1"/>
    </xf>
    <xf numFmtId="2" fontId="9" fillId="0" borderId="12" xfId="0" applyNumberFormat="1" applyFont="1" applyBorder="1" applyAlignment="1">
      <alignment horizontal="center" vertical="center"/>
    </xf>
    <xf numFmtId="0" fontId="9" fillId="0" borderId="12" xfId="0" applyFont="1" applyBorder="1" applyAlignment="1">
      <alignment horizontal="right"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xf>
    <xf numFmtId="0" fontId="14" fillId="0" borderId="12" xfId="0" applyFont="1" applyBorder="1" applyAlignment="1">
      <alignment horizontal="left" vertical="center" wrapText="1"/>
    </xf>
    <xf numFmtId="0" fontId="18" fillId="0" borderId="12" xfId="0" applyFont="1" applyBorder="1" applyAlignment="1">
      <alignment horizontal="left" vertical="center" wrapText="1"/>
    </xf>
    <xf numFmtId="0" fontId="14" fillId="0" borderId="12" xfId="0" applyFont="1" applyBorder="1" applyAlignment="1">
      <alignment vertical="center" wrapText="1"/>
    </xf>
    <xf numFmtId="0" fontId="9" fillId="0" borderId="12" xfId="0" applyFont="1" applyBorder="1" applyAlignment="1">
      <alignment horizontal="justify" vertical="center" wrapText="1"/>
    </xf>
    <xf numFmtId="0" fontId="11" fillId="0" borderId="12" xfId="0" applyFont="1" applyBorder="1" applyAlignment="1">
      <alignment horizontal="left" vertical="center"/>
    </xf>
    <xf numFmtId="0" fontId="11" fillId="0" borderId="12" xfId="0" applyFont="1" applyBorder="1" applyAlignment="1">
      <alignment horizontal="left" vertical="center" wrapText="1"/>
    </xf>
    <xf numFmtId="0" fontId="14" fillId="0" borderId="12" xfId="0" applyFont="1" applyBorder="1" applyAlignment="1">
      <alignment horizontal="right" vertical="center" wrapText="1"/>
    </xf>
    <xf numFmtId="0" fontId="19" fillId="0" borderId="0" xfId="0" applyFont="1"/>
    <xf numFmtId="0" fontId="20" fillId="0" borderId="0" xfId="0" applyFont="1"/>
    <xf numFmtId="0" fontId="9" fillId="0" borderId="12" xfId="1" applyFont="1" applyBorder="1" applyAlignment="1">
      <alignment horizontal="justify" vertical="center" wrapText="1"/>
    </xf>
    <xf numFmtId="0" fontId="12"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Border="1" applyAlignment="1">
      <alignment vertical="center"/>
    </xf>
    <xf numFmtId="0" fontId="19" fillId="0" borderId="0" xfId="0" applyFont="1" applyAlignment="1">
      <alignment vertical="center"/>
    </xf>
    <xf numFmtId="0" fontId="1" fillId="4"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4" fillId="4" borderId="8" xfId="0" applyFont="1" applyFill="1" applyBorder="1" applyAlignment="1">
      <alignment horizontal="center" vertical="center"/>
    </xf>
    <xf numFmtId="0" fontId="4" fillId="4" borderId="8" xfId="0" applyFont="1" applyFill="1" applyBorder="1" applyAlignment="1">
      <alignment horizontal="left" vertical="center"/>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0" fontId="4"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17" fillId="0" borderId="1" xfId="0" applyFont="1" applyBorder="1" applyAlignment="1">
      <alignment vertical="center" wrapText="1"/>
    </xf>
    <xf numFmtId="0" fontId="9" fillId="0" borderId="1" xfId="0" applyFont="1" applyBorder="1" applyAlignment="1">
      <alignment horizontal="left" vertical="center" wrapText="1"/>
    </xf>
    <xf numFmtId="0" fontId="9" fillId="2" borderId="1" xfId="1" applyFont="1" applyFill="1" applyBorder="1" applyAlignment="1">
      <alignment horizontal="center" vertical="center" wrapText="1"/>
    </xf>
    <xf numFmtId="0" fontId="9" fillId="4" borderId="1" xfId="0" applyFont="1" applyFill="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right" vertical="center" wrapText="1"/>
    </xf>
    <xf numFmtId="2" fontId="9" fillId="0" borderId="2"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11" fillId="4" borderId="8" xfId="0" applyFont="1" applyFill="1" applyBorder="1" applyAlignment="1">
      <alignment horizontal="center" vertical="center"/>
    </xf>
    <xf numFmtId="0" fontId="11" fillId="4" borderId="8" xfId="0" applyFont="1" applyFill="1" applyBorder="1" applyAlignment="1">
      <alignment horizontal="left" vertical="center"/>
    </xf>
    <xf numFmtId="2" fontId="9" fillId="0" borderId="1" xfId="0" applyNumberFormat="1" applyFont="1" applyBorder="1" applyAlignment="1">
      <alignment horizontal="center" vertical="center"/>
    </xf>
    <xf numFmtId="0" fontId="11" fillId="4" borderId="5"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7" xfId="0" applyFont="1" applyFill="1" applyBorder="1" applyAlignment="1">
      <alignment horizontal="center" vertical="center"/>
    </xf>
    <xf numFmtId="0" fontId="11" fillId="4" borderId="7" xfId="0" applyFont="1" applyFill="1" applyBorder="1" applyAlignment="1">
      <alignment horizontal="left" vertical="center"/>
    </xf>
    <xf numFmtId="0" fontId="9" fillId="0" borderId="5" xfId="0" applyFont="1" applyBorder="1" applyAlignment="1">
      <alignment horizontal="center" vertical="center"/>
    </xf>
    <xf numFmtId="0" fontId="11" fillId="4" borderId="5" xfId="0" applyFont="1" applyFill="1" applyBorder="1" applyAlignment="1">
      <alignment horizontal="left" vertical="center" wrapText="1"/>
    </xf>
    <xf numFmtId="0" fontId="17" fillId="0" borderId="3" xfId="0" applyFont="1" applyBorder="1" applyAlignment="1">
      <alignment vertical="center" wrapText="1"/>
    </xf>
    <xf numFmtId="0" fontId="9" fillId="0" borderId="3" xfId="0" applyFont="1" applyBorder="1" applyAlignment="1">
      <alignment horizontal="right" vertical="center" wrapText="1"/>
    </xf>
    <xf numFmtId="0" fontId="14" fillId="0" borderId="1" xfId="0" applyFont="1" applyBorder="1" applyAlignment="1">
      <alignment horizontal="right" vertical="center" wrapText="1"/>
    </xf>
    <xf numFmtId="0" fontId="9" fillId="0" borderId="7" xfId="0" applyFont="1" applyBorder="1" applyAlignment="1">
      <alignment horizontal="center" vertical="center"/>
    </xf>
    <xf numFmtId="2" fontId="9" fillId="2" borderId="7" xfId="0" applyNumberFormat="1" applyFont="1" applyFill="1" applyBorder="1" applyAlignment="1">
      <alignment horizontal="center" vertical="center"/>
    </xf>
    <xf numFmtId="2" fontId="9" fillId="0" borderId="7"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left" vertical="center"/>
    </xf>
    <xf numFmtId="0" fontId="23" fillId="0" borderId="0" xfId="0" applyFont="1"/>
    <xf numFmtId="0" fontId="13" fillId="0" borderId="0" xfId="0" applyFont="1"/>
    <xf numFmtId="0" fontId="1" fillId="0" borderId="1" xfId="0" applyFont="1" applyBorder="1" applyAlignment="1">
      <alignment vertical="center"/>
    </xf>
    <xf numFmtId="0" fontId="1" fillId="0" borderId="1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2" fillId="0" borderId="23" xfId="0" applyFont="1" applyBorder="1" applyAlignment="1">
      <alignment vertical="center" wrapText="1"/>
    </xf>
    <xf numFmtId="0" fontId="22" fillId="0" borderId="28" xfId="0" applyFont="1" applyBorder="1" applyAlignment="1">
      <alignment horizontal="center" vertical="center" wrapText="1"/>
    </xf>
    <xf numFmtId="0" fontId="1" fillId="0" borderId="40" xfId="1"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left" vertical="center" wrapText="1"/>
    </xf>
    <xf numFmtId="0" fontId="24" fillId="0" borderId="0" xfId="0" applyFont="1"/>
    <xf numFmtId="0" fontId="1" fillId="0" borderId="0" xfId="0" applyFont="1" applyAlignment="1">
      <alignment horizontal="left" vertical="center"/>
    </xf>
    <xf numFmtId="0" fontId="20" fillId="0" borderId="0" xfId="0" applyFont="1" applyAlignment="1">
      <alignment vertical="center"/>
    </xf>
    <xf numFmtId="0" fontId="1" fillId="0" borderId="41" xfId="0" applyFont="1" applyBorder="1" applyAlignment="1">
      <alignment horizontal="center" vertical="center" wrapText="1"/>
    </xf>
    <xf numFmtId="0" fontId="2" fillId="0" borderId="41" xfId="0" applyFont="1" applyBorder="1" applyAlignment="1">
      <alignment vertical="center" wrapText="1"/>
    </xf>
    <xf numFmtId="0" fontId="1" fillId="2" borderId="41" xfId="1" applyFont="1" applyFill="1" applyBorder="1" applyAlignment="1">
      <alignment horizontal="center" vertical="center" wrapText="1"/>
    </xf>
    <xf numFmtId="0" fontId="1" fillId="4" borderId="41" xfId="0" applyFont="1" applyFill="1" applyBorder="1" applyAlignment="1">
      <alignment horizontal="left" vertical="center" wrapText="1"/>
    </xf>
    <xf numFmtId="2" fontId="1" fillId="0" borderId="41" xfId="0" applyNumberFormat="1" applyFont="1" applyBorder="1" applyAlignment="1">
      <alignment horizontal="center" vertical="center" wrapText="1"/>
    </xf>
    <xf numFmtId="0" fontId="1" fillId="0" borderId="41" xfId="0" applyFont="1" applyBorder="1" applyAlignment="1">
      <alignment horizontal="right" vertical="center" wrapText="1"/>
    </xf>
    <xf numFmtId="2" fontId="1" fillId="0" borderId="41" xfId="0" applyNumberFormat="1" applyFont="1" applyBorder="1" applyAlignment="1">
      <alignment horizontal="center" vertical="center"/>
    </xf>
    <xf numFmtId="0" fontId="1" fillId="0" borderId="41" xfId="0" applyFont="1" applyBorder="1" applyAlignment="1">
      <alignment horizontal="justify" vertical="center" wrapText="1"/>
    </xf>
    <xf numFmtId="0" fontId="4" fillId="0" borderId="41" xfId="0" applyFont="1" applyBorder="1" applyAlignment="1">
      <alignment horizontal="center" vertical="center"/>
    </xf>
    <xf numFmtId="0" fontId="4" fillId="0" borderId="41" xfId="0" applyFont="1" applyBorder="1" applyAlignment="1">
      <alignment horizontal="left" vertical="center"/>
    </xf>
    <xf numFmtId="0" fontId="1" fillId="0" borderId="41" xfId="0" applyFont="1" applyBorder="1" applyAlignment="1">
      <alignment horizontal="center" vertical="center"/>
    </xf>
    <xf numFmtId="0" fontId="4" fillId="0" borderId="41" xfId="0" applyFont="1" applyBorder="1" applyAlignment="1">
      <alignment horizontal="left" vertical="center" wrapText="1"/>
    </xf>
    <xf numFmtId="0" fontId="6" fillId="0" borderId="41" xfId="0" applyFont="1" applyBorder="1" applyAlignment="1">
      <alignment horizontal="right" vertical="center" wrapText="1"/>
    </xf>
    <xf numFmtId="0" fontId="0" fillId="0" borderId="0" xfId="0" applyAlignment="1">
      <alignment horizontal="left"/>
    </xf>
    <xf numFmtId="2" fontId="0" fillId="0" borderId="0" xfId="0" applyNumberFormat="1" applyAlignment="1">
      <alignment horizontal="left"/>
    </xf>
    <xf numFmtId="2" fontId="1" fillId="0" borderId="42" xfId="0" applyNumberFormat="1" applyFont="1" applyBorder="1" applyAlignment="1">
      <alignment horizontal="center" vertical="center"/>
    </xf>
    <xf numFmtId="0" fontId="19" fillId="0" borderId="12" xfId="0" applyFont="1" applyBorder="1" applyAlignment="1">
      <alignment horizontal="center"/>
    </xf>
    <xf numFmtId="0" fontId="26" fillId="0" borderId="12" xfId="0" applyFont="1" applyBorder="1" applyAlignment="1">
      <alignment horizontal="center"/>
    </xf>
    <xf numFmtId="2" fontId="26" fillId="0" borderId="12" xfId="0" applyNumberFormat="1" applyFont="1" applyBorder="1" applyAlignment="1">
      <alignment horizontal="center"/>
    </xf>
    <xf numFmtId="0" fontId="19" fillId="0" borderId="0" xfId="0" applyFont="1" applyAlignment="1">
      <alignment wrapText="1"/>
    </xf>
    <xf numFmtId="0" fontId="9" fillId="0" borderId="12" xfId="0" applyFont="1" applyBorder="1" applyAlignment="1">
      <alignment horizontal="center"/>
    </xf>
    <xf numFmtId="0" fontId="14" fillId="0" borderId="12" xfId="0" applyFont="1" applyBorder="1" applyAlignment="1">
      <alignment horizontal="center"/>
    </xf>
    <xf numFmtId="0" fontId="0" fillId="0" borderId="0" xfId="0" applyAlignment="1">
      <alignment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12" xfId="0" applyFont="1" applyBorder="1" applyAlignment="1">
      <alignment horizontal="left" vertical="center" wrapText="1"/>
    </xf>
    <xf numFmtId="0" fontId="1" fillId="0" borderId="12" xfId="0" applyFont="1" applyBorder="1" applyAlignment="1">
      <alignment horizontal="left" vertical="center" wrapText="1"/>
    </xf>
    <xf numFmtId="0" fontId="23" fillId="0" borderId="0" xfId="0" applyFont="1" applyAlignment="1">
      <alignment horizontal="left" wrapText="1"/>
    </xf>
    <xf numFmtId="0" fontId="1" fillId="0" borderId="41"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9" fillId="0" borderId="0" xfId="0" applyFont="1" applyAlignment="1">
      <alignment horizontal="left"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2">
    <cellStyle name="Normal" xfId="0" builtinId="0"/>
    <cellStyle name="Normal 2" xfId="1" xr:uid="{A38D5D06-3812-4A42-A735-F343CE52D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57574-6EF2-4910-B096-73263D7624FB}">
  <sheetPr>
    <tabColor theme="9" tint="0.79998168889431442"/>
  </sheetPr>
  <dimension ref="A1:D58"/>
  <sheetViews>
    <sheetView topLeftCell="A35" zoomScale="85" zoomScaleNormal="85" workbookViewId="0">
      <selection activeCell="B58" sqref="B58"/>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4" x14ac:dyDescent="0.25">
      <c r="A1" s="148" t="s">
        <v>66</v>
      </c>
      <c r="B1" s="149" t="s">
        <v>67</v>
      </c>
      <c r="C1" s="150"/>
    </row>
    <row r="2" spans="1:4" ht="31.5" x14ac:dyDescent="0.25">
      <c r="A2" s="151" t="s">
        <v>68</v>
      </c>
      <c r="B2" s="254" t="s">
        <v>509</v>
      </c>
      <c r="C2" s="254"/>
    </row>
    <row r="3" spans="1:4" ht="63" x14ac:dyDescent="0.25">
      <c r="A3" s="151"/>
      <c r="B3" s="152" t="s">
        <v>510</v>
      </c>
      <c r="C3" s="152"/>
    </row>
    <row r="4" spans="1:4" x14ac:dyDescent="0.25">
      <c r="A4" s="151"/>
      <c r="B4" s="152" t="s">
        <v>511</v>
      </c>
      <c r="C4" s="152"/>
    </row>
    <row r="5" spans="1:4" x14ac:dyDescent="0.25">
      <c r="A5" s="151" t="s">
        <v>71</v>
      </c>
      <c r="B5" s="149" t="s">
        <v>187</v>
      </c>
      <c r="C5" s="150"/>
    </row>
    <row r="8" spans="1:4" ht="63" x14ac:dyDescent="0.25">
      <c r="A8" s="153" t="s">
        <v>0</v>
      </c>
      <c r="B8" s="153" t="s">
        <v>1</v>
      </c>
      <c r="C8" s="153" t="s">
        <v>2</v>
      </c>
    </row>
    <row r="9" spans="1:4" x14ac:dyDescent="0.25">
      <c r="A9" s="153">
        <v>1</v>
      </c>
      <c r="B9" s="153">
        <v>2</v>
      </c>
      <c r="C9" s="153">
        <v>3</v>
      </c>
    </row>
    <row r="10" spans="1:4" x14ac:dyDescent="0.25">
      <c r="A10" s="154"/>
      <c r="B10" s="153" t="s">
        <v>3</v>
      </c>
      <c r="C10" s="153" t="s">
        <v>4</v>
      </c>
    </row>
    <row r="11" spans="1:4" x14ac:dyDescent="0.25">
      <c r="A11" s="155"/>
      <c r="B11" s="155" t="s">
        <v>512</v>
      </c>
      <c r="C11" s="155"/>
    </row>
    <row r="12" spans="1:4" ht="94.5" x14ac:dyDescent="0.25">
      <c r="A12" s="156">
        <v>1100</v>
      </c>
      <c r="B12" s="157" t="s">
        <v>513</v>
      </c>
      <c r="C12" s="158">
        <f>ROUND((10*0.083),2)</f>
        <v>0.83</v>
      </c>
    </row>
    <row r="13" spans="1:4" ht="78.75" x14ac:dyDescent="0.25">
      <c r="A13" s="156">
        <v>1100</v>
      </c>
      <c r="B13" s="157" t="s">
        <v>514</v>
      </c>
      <c r="C13" s="159">
        <f>10*1</f>
        <v>10</v>
      </c>
      <c r="D13" s="171"/>
    </row>
    <row r="14" spans="1:4" ht="78.75" x14ac:dyDescent="0.25">
      <c r="A14" s="156">
        <v>1100</v>
      </c>
      <c r="B14" s="157" t="s">
        <v>515</v>
      </c>
      <c r="C14" s="158">
        <f>ROUND((10*0.667),2)</f>
        <v>6.67</v>
      </c>
    </row>
    <row r="15" spans="1:4" x14ac:dyDescent="0.25">
      <c r="A15" s="156">
        <v>2322</v>
      </c>
      <c r="B15" s="157" t="s">
        <v>516</v>
      </c>
      <c r="C15" s="158">
        <v>7.79</v>
      </c>
    </row>
    <row r="16" spans="1:4" x14ac:dyDescent="0.25">
      <c r="A16" s="156">
        <v>2310</v>
      </c>
      <c r="B16" s="157" t="s">
        <v>517</v>
      </c>
      <c r="C16" s="158">
        <v>1.37</v>
      </c>
    </row>
    <row r="17" spans="1:3" x14ac:dyDescent="0.25">
      <c r="A17" s="156"/>
      <c r="B17" s="160" t="s">
        <v>518</v>
      </c>
      <c r="C17" s="158">
        <f>SUM(C12:C16)</f>
        <v>26.66</v>
      </c>
    </row>
    <row r="18" spans="1:3" x14ac:dyDescent="0.25">
      <c r="A18" s="156"/>
      <c r="B18" s="157" t="s">
        <v>519</v>
      </c>
      <c r="C18" s="158"/>
    </row>
    <row r="19" spans="1:3" ht="94.5" x14ac:dyDescent="0.25">
      <c r="A19" s="156">
        <v>1100</v>
      </c>
      <c r="B19" s="161" t="s">
        <v>189</v>
      </c>
      <c r="C19" s="158">
        <f>9.63*0.25</f>
        <v>2.4075000000000002</v>
      </c>
    </row>
    <row r="20" spans="1:3" x14ac:dyDescent="0.25">
      <c r="A20" s="156">
        <v>2341</v>
      </c>
      <c r="B20" s="161" t="s">
        <v>190</v>
      </c>
      <c r="C20" s="153">
        <v>3.3</v>
      </c>
    </row>
    <row r="21" spans="1:3" x14ac:dyDescent="0.25">
      <c r="A21" s="129">
        <v>2239</v>
      </c>
      <c r="B21" s="117" t="s">
        <v>191</v>
      </c>
      <c r="C21" s="153">
        <v>0.23</v>
      </c>
    </row>
    <row r="22" spans="1:3" x14ac:dyDescent="0.25">
      <c r="A22" s="154"/>
      <c r="B22" s="160" t="s">
        <v>39</v>
      </c>
      <c r="C22" s="159">
        <f>SUM(C19:C21)</f>
        <v>5.9375</v>
      </c>
    </row>
    <row r="23" spans="1:3" x14ac:dyDescent="0.25">
      <c r="A23" s="154"/>
      <c r="B23" s="157" t="s">
        <v>520</v>
      </c>
      <c r="C23" s="162"/>
    </row>
    <row r="24" spans="1:3" x14ac:dyDescent="0.25">
      <c r="A24" s="154"/>
      <c r="B24" s="163" t="s">
        <v>192</v>
      </c>
      <c r="C24" s="162"/>
    </row>
    <row r="25" spans="1:3" ht="94.5" x14ac:dyDescent="0.25">
      <c r="A25" s="156">
        <v>1100</v>
      </c>
      <c r="B25" s="161" t="s">
        <v>521</v>
      </c>
      <c r="C25" s="159">
        <f>9.63*0.5</f>
        <v>4.8150000000000004</v>
      </c>
    </row>
    <row r="26" spans="1:3" x14ac:dyDescent="0.25">
      <c r="A26" s="156">
        <v>2341</v>
      </c>
      <c r="B26" s="157" t="s">
        <v>194</v>
      </c>
      <c r="C26" s="162">
        <v>0.38</v>
      </c>
    </row>
    <row r="27" spans="1:3" x14ac:dyDescent="0.25">
      <c r="A27" s="156"/>
      <c r="B27" s="164" t="s">
        <v>204</v>
      </c>
      <c r="C27" s="162"/>
    </row>
    <row r="28" spans="1:3" ht="94.5" x14ac:dyDescent="0.25">
      <c r="A28" s="156">
        <v>1100</v>
      </c>
      <c r="B28" s="161" t="s">
        <v>205</v>
      </c>
      <c r="C28" s="162">
        <v>9.6300000000000008</v>
      </c>
    </row>
    <row r="29" spans="1:3" x14ac:dyDescent="0.25">
      <c r="A29" s="156">
        <v>2341</v>
      </c>
      <c r="B29" s="157" t="s">
        <v>194</v>
      </c>
      <c r="C29" s="162">
        <v>0.19</v>
      </c>
    </row>
    <row r="30" spans="1:3" x14ac:dyDescent="0.25">
      <c r="A30" s="156"/>
      <c r="B30" s="165" t="s">
        <v>195</v>
      </c>
      <c r="C30" s="162"/>
    </row>
    <row r="31" spans="1:3" ht="94.5" x14ac:dyDescent="0.25">
      <c r="A31" s="156">
        <v>1100</v>
      </c>
      <c r="B31" s="161" t="s">
        <v>229</v>
      </c>
      <c r="C31" s="162">
        <f>ROUND((9.63*0.75),2)</f>
        <v>7.22</v>
      </c>
    </row>
    <row r="32" spans="1:3" x14ac:dyDescent="0.25">
      <c r="A32" s="156">
        <v>2341</v>
      </c>
      <c r="B32" s="157" t="s">
        <v>194</v>
      </c>
      <c r="C32" s="159">
        <v>2.9</v>
      </c>
    </row>
    <row r="33" spans="1:3" x14ac:dyDescent="0.25">
      <c r="A33" s="156"/>
      <c r="B33" s="165" t="s">
        <v>197</v>
      </c>
      <c r="C33" s="162"/>
    </row>
    <row r="34" spans="1:3" ht="94.5" x14ac:dyDescent="0.25">
      <c r="A34" s="156">
        <v>1100</v>
      </c>
      <c r="B34" s="161" t="s">
        <v>522</v>
      </c>
      <c r="C34" s="162">
        <f>ROUND((9.63*0.1333),2)</f>
        <v>1.28</v>
      </c>
    </row>
    <row r="35" spans="1:3" x14ac:dyDescent="0.25">
      <c r="A35" s="156"/>
      <c r="B35" s="163" t="s">
        <v>78</v>
      </c>
      <c r="C35" s="162"/>
    </row>
    <row r="36" spans="1:3" ht="94.5" x14ac:dyDescent="0.25">
      <c r="A36" s="156">
        <v>1100</v>
      </c>
      <c r="B36" s="161" t="s">
        <v>209</v>
      </c>
      <c r="C36" s="159">
        <f>ROUND((9.63*0.333),2)</f>
        <v>3.21</v>
      </c>
    </row>
    <row r="37" spans="1:3" x14ac:dyDescent="0.25">
      <c r="A37" s="156"/>
      <c r="B37" s="160" t="s">
        <v>199</v>
      </c>
      <c r="C37" s="159">
        <f>SUM(C25:C36)</f>
        <v>29.625</v>
      </c>
    </row>
    <row r="38" spans="1:3" x14ac:dyDescent="0.25">
      <c r="A38" s="155"/>
      <c r="B38" s="155" t="s">
        <v>523</v>
      </c>
      <c r="C38" s="162"/>
    </row>
    <row r="39" spans="1:3" ht="94.5" x14ac:dyDescent="0.25">
      <c r="A39" s="156">
        <v>1100</v>
      </c>
      <c r="B39" s="157" t="s">
        <v>200</v>
      </c>
      <c r="C39" s="159">
        <f>ROUND((12.97*0.083),2)</f>
        <v>1.08</v>
      </c>
    </row>
    <row r="40" spans="1:3" x14ac:dyDescent="0.25">
      <c r="A40" s="154"/>
      <c r="B40" s="160" t="s">
        <v>55</v>
      </c>
      <c r="C40" s="159">
        <f>C39</f>
        <v>1.08</v>
      </c>
    </row>
    <row r="41" spans="1:3" x14ac:dyDescent="0.25">
      <c r="A41" s="154"/>
      <c r="B41" s="160" t="s">
        <v>8</v>
      </c>
      <c r="C41" s="159">
        <f>SUM(C17,C22,C37,C40)</f>
        <v>63.302499999999995</v>
      </c>
    </row>
    <row r="42" spans="1:3" x14ac:dyDescent="0.25">
      <c r="A42" s="154"/>
      <c r="B42" s="153" t="s">
        <v>9</v>
      </c>
      <c r="C42" s="153" t="s">
        <v>4</v>
      </c>
    </row>
    <row r="43" spans="1:3" x14ac:dyDescent="0.25">
      <c r="A43" s="153">
        <v>1100</v>
      </c>
      <c r="B43" s="166" t="s">
        <v>10</v>
      </c>
      <c r="C43" s="158">
        <v>0.61</v>
      </c>
    </row>
    <row r="44" spans="1:3" x14ac:dyDescent="0.25">
      <c r="A44" s="129">
        <v>2210</v>
      </c>
      <c r="B44" s="167" t="s">
        <v>11</v>
      </c>
      <c r="C44" s="162">
        <v>0.2</v>
      </c>
    </row>
    <row r="45" spans="1:3" x14ac:dyDescent="0.25">
      <c r="A45" s="129">
        <v>2220</v>
      </c>
      <c r="B45" s="167" t="s">
        <v>12</v>
      </c>
      <c r="C45" s="153">
        <v>0.78</v>
      </c>
    </row>
    <row r="46" spans="1:3" x14ac:dyDescent="0.25">
      <c r="A46" s="129">
        <v>2240</v>
      </c>
      <c r="B46" s="167" t="s">
        <v>56</v>
      </c>
      <c r="C46" s="153">
        <v>2.0699999999999998</v>
      </c>
    </row>
    <row r="47" spans="1:3" x14ac:dyDescent="0.25">
      <c r="A47" s="129">
        <v>2310</v>
      </c>
      <c r="B47" s="167" t="s">
        <v>15</v>
      </c>
      <c r="C47" s="158">
        <v>0.38</v>
      </c>
    </row>
    <row r="48" spans="1:3" x14ac:dyDescent="0.25">
      <c r="A48" s="162">
        <v>5200</v>
      </c>
      <c r="B48" s="168" t="s">
        <v>201</v>
      </c>
      <c r="C48" s="158">
        <v>0.38</v>
      </c>
    </row>
    <row r="49" spans="1:4" x14ac:dyDescent="0.25">
      <c r="A49" s="154"/>
      <c r="B49" s="160" t="s">
        <v>17</v>
      </c>
      <c r="C49" s="158">
        <f>SUM(C43:C48)</f>
        <v>4.42</v>
      </c>
    </row>
    <row r="50" spans="1:4" x14ac:dyDescent="0.25">
      <c r="A50" s="153"/>
      <c r="B50" s="169" t="s">
        <v>18</v>
      </c>
      <c r="C50" s="158">
        <f>SUM(C41,C49)</f>
        <v>67.722499999999997</v>
      </c>
      <c r="D50" s="171"/>
    </row>
    <row r="51" spans="1:4" x14ac:dyDescent="0.25">
      <c r="A51" s="255" t="s">
        <v>19</v>
      </c>
      <c r="B51" s="256"/>
      <c r="C51" s="162">
        <v>1</v>
      </c>
    </row>
    <row r="52" spans="1:4" x14ac:dyDescent="0.25">
      <c r="A52" s="255" t="s">
        <v>528</v>
      </c>
      <c r="B52" s="256"/>
      <c r="C52" s="159">
        <f>C50</f>
        <v>67.722499999999997</v>
      </c>
    </row>
    <row r="53" spans="1:4" x14ac:dyDescent="0.25">
      <c r="A53" s="255" t="s">
        <v>21</v>
      </c>
      <c r="B53" s="256"/>
      <c r="C53" s="162">
        <v>1100</v>
      </c>
    </row>
    <row r="54" spans="1:4" x14ac:dyDescent="0.25">
      <c r="A54" s="257" t="s">
        <v>529</v>
      </c>
      <c r="B54" s="257"/>
      <c r="C54" s="159">
        <f>C53*C52</f>
        <v>74494.75</v>
      </c>
    </row>
    <row r="55" spans="1:4" x14ac:dyDescent="0.25">
      <c r="C55" s="250">
        <v>30.45</v>
      </c>
    </row>
    <row r="56" spans="1:4" x14ac:dyDescent="0.25">
      <c r="C56" s="249">
        <v>1100</v>
      </c>
    </row>
    <row r="57" spans="1:4" x14ac:dyDescent="0.25">
      <c r="C57" s="249">
        <f>C55*C56</f>
        <v>33495</v>
      </c>
    </row>
    <row r="58" spans="1:4" ht="47.25" x14ac:dyDescent="0.25">
      <c r="B58" s="248" t="s">
        <v>703</v>
      </c>
    </row>
  </sheetData>
  <mergeCells count="5">
    <mergeCell ref="B2:C2"/>
    <mergeCell ref="A51:B51"/>
    <mergeCell ref="A52:B52"/>
    <mergeCell ref="A53:B53"/>
    <mergeCell ref="A54:B5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3E6A-57A9-4D36-9FD0-1E0B7E4FE970}">
  <sheetPr>
    <tabColor theme="9" tint="0.79998168889431442"/>
  </sheetPr>
  <dimension ref="A1:D34"/>
  <sheetViews>
    <sheetView topLeftCell="A12" zoomScale="70" zoomScaleNormal="70" workbookViewId="0">
      <selection activeCell="B20" sqref="B20"/>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542</v>
      </c>
      <c r="C2" s="254"/>
    </row>
    <row r="3" spans="1:3" x14ac:dyDescent="0.25">
      <c r="A3" s="151" t="s">
        <v>71</v>
      </c>
      <c r="B3" s="149" t="s">
        <v>187</v>
      </c>
      <c r="C3" s="150"/>
    </row>
    <row r="6" spans="1:3" ht="63" x14ac:dyDescent="0.25">
      <c r="A6" s="153" t="s">
        <v>0</v>
      </c>
      <c r="B6" s="153" t="s">
        <v>1</v>
      </c>
      <c r="C6" s="153" t="s">
        <v>2</v>
      </c>
    </row>
    <row r="7" spans="1:3" x14ac:dyDescent="0.25">
      <c r="A7" s="153">
        <v>1</v>
      </c>
      <c r="B7" s="153">
        <v>2</v>
      </c>
      <c r="C7" s="153">
        <v>3</v>
      </c>
    </row>
    <row r="8" spans="1:3" x14ac:dyDescent="0.25">
      <c r="A8" s="154"/>
      <c r="B8" s="153" t="s">
        <v>3</v>
      </c>
      <c r="C8" s="153" t="s">
        <v>4</v>
      </c>
    </row>
    <row r="9" spans="1:3" x14ac:dyDescent="0.25">
      <c r="A9" s="154"/>
      <c r="B9" s="157" t="s">
        <v>544</v>
      </c>
      <c r="C9" s="153"/>
    </row>
    <row r="10" spans="1:3" ht="78.75" x14ac:dyDescent="0.25">
      <c r="A10" s="156">
        <v>1100</v>
      </c>
      <c r="B10" s="157" t="s">
        <v>556</v>
      </c>
      <c r="C10" s="159">
        <f>10*0.5</f>
        <v>5</v>
      </c>
    </row>
    <row r="11" spans="1:3" ht="78.75" x14ac:dyDescent="0.25">
      <c r="A11" s="156">
        <v>1100</v>
      </c>
      <c r="B11" s="157" t="s">
        <v>515</v>
      </c>
      <c r="C11" s="158">
        <f>ROUND((10*0.667),2)</f>
        <v>6.67</v>
      </c>
    </row>
    <row r="12" spans="1:3" ht="47.25" x14ac:dyDescent="0.25">
      <c r="A12" s="156">
        <v>2322</v>
      </c>
      <c r="B12" s="157" t="s">
        <v>545</v>
      </c>
      <c r="C12" s="158">
        <v>7.79</v>
      </c>
    </row>
    <row r="13" spans="1:3" x14ac:dyDescent="0.25">
      <c r="A13" s="156">
        <v>2310</v>
      </c>
      <c r="B13" s="161" t="s">
        <v>546</v>
      </c>
      <c r="C13" s="158">
        <v>1.33</v>
      </c>
    </row>
    <row r="14" spans="1:3" x14ac:dyDescent="0.25">
      <c r="A14" s="154"/>
      <c r="B14" s="160" t="s">
        <v>39</v>
      </c>
      <c r="C14" s="159">
        <f>SUM(C10:C13)</f>
        <v>20.79</v>
      </c>
    </row>
    <row r="15" spans="1:3" x14ac:dyDescent="0.25">
      <c r="A15" s="154"/>
      <c r="B15" s="157" t="s">
        <v>40</v>
      </c>
      <c r="C15" s="159"/>
    </row>
    <row r="16" spans="1:3" ht="94.5" x14ac:dyDescent="0.25">
      <c r="A16" s="156">
        <v>1100</v>
      </c>
      <c r="B16" s="157" t="s">
        <v>682</v>
      </c>
      <c r="C16" s="159">
        <f>ROUND((10*1),2)</f>
        <v>10</v>
      </c>
    </row>
    <row r="17" spans="1:4" x14ac:dyDescent="0.25">
      <c r="A17" s="156">
        <v>2310</v>
      </c>
      <c r="B17" s="161" t="s">
        <v>547</v>
      </c>
      <c r="C17" s="159">
        <v>1</v>
      </c>
    </row>
    <row r="18" spans="1:4" x14ac:dyDescent="0.25">
      <c r="A18" s="154"/>
      <c r="B18" s="160" t="s">
        <v>50</v>
      </c>
      <c r="C18" s="159">
        <f>SUM(C16:C17)</f>
        <v>11</v>
      </c>
    </row>
    <row r="19" spans="1:4" x14ac:dyDescent="0.25">
      <c r="A19" s="155"/>
      <c r="B19" s="155" t="s">
        <v>51</v>
      </c>
      <c r="C19" s="159"/>
    </row>
    <row r="20" spans="1:4" ht="94.5" x14ac:dyDescent="0.25">
      <c r="A20" s="156">
        <v>1100</v>
      </c>
      <c r="B20" s="157" t="s">
        <v>200</v>
      </c>
      <c r="C20" s="159">
        <f>ROUND((12.97*0.083),2)</f>
        <v>1.08</v>
      </c>
    </row>
    <row r="21" spans="1:4" x14ac:dyDescent="0.25">
      <c r="A21" s="154"/>
      <c r="B21" s="160" t="s">
        <v>55</v>
      </c>
      <c r="C21" s="159">
        <f>C20</f>
        <v>1.08</v>
      </c>
    </row>
    <row r="22" spans="1:4" x14ac:dyDescent="0.25">
      <c r="A22" s="154"/>
      <c r="B22" s="160" t="s">
        <v>8</v>
      </c>
      <c r="C22" s="159">
        <f>SUM(C14,C18,C21)</f>
        <v>32.869999999999997</v>
      </c>
    </row>
    <row r="23" spans="1:4" x14ac:dyDescent="0.25">
      <c r="A23" s="154"/>
      <c r="B23" s="153" t="s">
        <v>9</v>
      </c>
      <c r="C23" s="158" t="s">
        <v>4</v>
      </c>
    </row>
    <row r="24" spans="1:4" x14ac:dyDescent="0.25">
      <c r="A24" s="153">
        <v>1100</v>
      </c>
      <c r="B24" s="166" t="s">
        <v>10</v>
      </c>
      <c r="C24" s="158">
        <v>0.38</v>
      </c>
    </row>
    <row r="25" spans="1:4" x14ac:dyDescent="0.25">
      <c r="A25" s="129">
        <v>2210</v>
      </c>
      <c r="B25" s="167" t="s">
        <v>11</v>
      </c>
      <c r="C25" s="159">
        <v>0.13</v>
      </c>
    </row>
    <row r="26" spans="1:4" x14ac:dyDescent="0.25">
      <c r="A26" s="156" t="s">
        <v>548</v>
      </c>
      <c r="B26" s="172" t="s">
        <v>31</v>
      </c>
      <c r="C26" s="158">
        <v>0.86</v>
      </c>
    </row>
    <row r="27" spans="1:4" x14ac:dyDescent="0.25">
      <c r="A27" s="129">
        <v>2310</v>
      </c>
      <c r="B27" s="167" t="s">
        <v>15</v>
      </c>
      <c r="C27" s="158">
        <v>0.24</v>
      </c>
    </row>
    <row r="28" spans="1:4" x14ac:dyDescent="0.25">
      <c r="A28" s="162">
        <v>5200</v>
      </c>
      <c r="B28" s="168" t="s">
        <v>201</v>
      </c>
      <c r="C28" s="158">
        <v>0.24</v>
      </c>
    </row>
    <row r="29" spans="1:4" x14ac:dyDescent="0.25">
      <c r="A29" s="154"/>
      <c r="B29" s="160" t="s">
        <v>17</v>
      </c>
      <c r="C29" s="158">
        <f>SUM(C24:C28)</f>
        <v>1.85</v>
      </c>
    </row>
    <row r="30" spans="1:4" x14ac:dyDescent="0.25">
      <c r="A30" s="153"/>
      <c r="B30" s="169" t="s">
        <v>18</v>
      </c>
      <c r="C30" s="158">
        <f>SUM(C22,C29)</f>
        <v>34.72</v>
      </c>
      <c r="D30" s="171"/>
    </row>
    <row r="31" spans="1:4" x14ac:dyDescent="0.25">
      <c r="A31" s="257" t="s">
        <v>19</v>
      </c>
      <c r="B31" s="257"/>
      <c r="C31" s="162">
        <v>1</v>
      </c>
    </row>
    <row r="32" spans="1:4" x14ac:dyDescent="0.25">
      <c r="A32" s="257" t="s">
        <v>528</v>
      </c>
      <c r="B32" s="257"/>
      <c r="C32" s="159">
        <f>C30</f>
        <v>34.72</v>
      </c>
    </row>
    <row r="33" spans="1:3" x14ac:dyDescent="0.25">
      <c r="A33" s="257" t="s">
        <v>21</v>
      </c>
      <c r="B33" s="257"/>
      <c r="C33" s="162">
        <v>51</v>
      </c>
    </row>
    <row r="34" spans="1:3" x14ac:dyDescent="0.25">
      <c r="A34" s="257" t="s">
        <v>529</v>
      </c>
      <c r="B34" s="257"/>
      <c r="C34" s="159">
        <f>C33*C32</f>
        <v>1770.72</v>
      </c>
    </row>
  </sheetData>
  <mergeCells count="5">
    <mergeCell ref="B2:C2"/>
    <mergeCell ref="A31:B31"/>
    <mergeCell ref="A32:B32"/>
    <mergeCell ref="A33:B33"/>
    <mergeCell ref="A34:B34"/>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3D729-38F6-4756-A9C9-905536BDAE7A}">
  <sheetPr>
    <tabColor theme="9" tint="0.79998168889431442"/>
  </sheetPr>
  <dimension ref="A1:C39"/>
  <sheetViews>
    <sheetView topLeftCell="A19"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88</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89</v>
      </c>
      <c r="C16" s="60">
        <f>12.97*0.2</f>
        <v>2.5940000000000003</v>
      </c>
    </row>
    <row r="17" spans="1:3" ht="16.5" thickBot="1" x14ac:dyDescent="0.3">
      <c r="A17" s="33" t="s">
        <v>43</v>
      </c>
      <c r="B17" s="59" t="s">
        <v>49</v>
      </c>
      <c r="C17" s="60">
        <v>1.42</v>
      </c>
    </row>
    <row r="18" spans="1:3" ht="16.5" thickBot="1" x14ac:dyDescent="0.3">
      <c r="A18" s="58"/>
      <c r="B18" s="61" t="s">
        <v>50</v>
      </c>
      <c r="C18" s="60">
        <f>SUM(C16:C17)</f>
        <v>4.0140000000000002</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7.5067500000000003</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0.06</v>
      </c>
    </row>
    <row r="29" spans="1:3" ht="16.5" thickBot="1" x14ac:dyDescent="0.3">
      <c r="A29" s="38">
        <v>2220</v>
      </c>
      <c r="B29" s="40" t="s">
        <v>12</v>
      </c>
      <c r="C29" s="60">
        <v>7.0000000000000007E-2</v>
      </c>
    </row>
    <row r="30" spans="1:3" ht="16.5" thickBot="1" x14ac:dyDescent="0.3">
      <c r="A30" s="38">
        <v>2240</v>
      </c>
      <c r="B30" s="40" t="s">
        <v>56</v>
      </c>
      <c r="C30" s="60">
        <v>0.19</v>
      </c>
    </row>
    <row r="31" spans="1:3" ht="16.5" thickBot="1" x14ac:dyDescent="0.3">
      <c r="A31" s="38">
        <v>2310</v>
      </c>
      <c r="B31" s="40" t="s">
        <v>15</v>
      </c>
      <c r="C31" s="60">
        <v>0.04</v>
      </c>
    </row>
    <row r="32" spans="1:3" ht="16.5" thickBot="1" x14ac:dyDescent="0.3">
      <c r="A32" s="38">
        <v>2340</v>
      </c>
      <c r="B32" s="40" t="s">
        <v>57</v>
      </c>
      <c r="C32" s="60">
        <v>7.0000000000000007E-2</v>
      </c>
    </row>
    <row r="33" spans="1:3" ht="16.5" thickBot="1" x14ac:dyDescent="0.3">
      <c r="A33" s="38">
        <v>5200</v>
      </c>
      <c r="B33" s="44" t="s">
        <v>16</v>
      </c>
      <c r="C33" s="60">
        <v>0.32</v>
      </c>
    </row>
    <row r="34" spans="1:3" ht="16.5" thickBot="1" x14ac:dyDescent="0.3">
      <c r="A34" s="58"/>
      <c r="B34" s="61" t="s">
        <v>17</v>
      </c>
      <c r="C34" s="60">
        <f>SUM(C28:C33)</f>
        <v>0.75</v>
      </c>
    </row>
    <row r="35" spans="1:3" ht="16.5" thickBot="1" x14ac:dyDescent="0.3">
      <c r="A35" s="56"/>
      <c r="B35" s="63" t="s">
        <v>18</v>
      </c>
      <c r="C35" s="60">
        <f>ROUND((SUM(C25,C34)),2)</f>
        <v>8.26</v>
      </c>
    </row>
    <row r="36" spans="1:3" ht="16.5" thickBot="1" x14ac:dyDescent="0.3">
      <c r="A36" s="252" t="s">
        <v>19</v>
      </c>
      <c r="B36" s="253"/>
      <c r="C36" s="54">
        <v>1</v>
      </c>
    </row>
    <row r="37" spans="1:3" ht="16.5" thickBot="1" x14ac:dyDescent="0.3">
      <c r="A37" s="252" t="s">
        <v>20</v>
      </c>
      <c r="B37" s="253"/>
      <c r="C37" s="47">
        <f>C35</f>
        <v>8.26</v>
      </c>
    </row>
    <row r="38" spans="1:3" ht="16.5" thickBot="1" x14ac:dyDescent="0.3">
      <c r="A38" s="252" t="s">
        <v>21</v>
      </c>
      <c r="B38" s="253"/>
      <c r="C38" s="48">
        <v>5</v>
      </c>
    </row>
    <row r="39" spans="1:3" ht="16.5" thickBot="1" x14ac:dyDescent="0.3">
      <c r="A39" s="252" t="s">
        <v>22</v>
      </c>
      <c r="B39" s="253"/>
      <c r="C39" s="47">
        <f>C38*C37</f>
        <v>41.3</v>
      </c>
    </row>
  </sheetData>
  <mergeCells count="5">
    <mergeCell ref="B3:C3"/>
    <mergeCell ref="A36:B36"/>
    <mergeCell ref="A37:B37"/>
    <mergeCell ref="A38:B38"/>
    <mergeCell ref="A39:B39"/>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B06C-54DC-4D16-88B7-DA8387020EAF}">
  <sheetPr>
    <tabColor theme="9" tint="0.79998168889431442"/>
  </sheetPr>
  <dimension ref="A1:C39"/>
  <sheetViews>
    <sheetView topLeftCell="A16"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90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59" t="s">
        <v>91</v>
      </c>
      <c r="C11" s="60">
        <f>12.97*0.007</f>
        <v>9.079000000000001E-2</v>
      </c>
    </row>
    <row r="12" spans="1:3" ht="16.5" thickBot="1" x14ac:dyDescent="0.3">
      <c r="A12" s="38">
        <v>2310</v>
      </c>
      <c r="B12" s="35" t="s">
        <v>37</v>
      </c>
      <c r="C12" s="60">
        <v>0.12</v>
      </c>
    </row>
    <row r="13" spans="1:3" ht="16.5" thickBot="1" x14ac:dyDescent="0.3">
      <c r="A13" s="38">
        <v>2223</v>
      </c>
      <c r="B13" s="35" t="s">
        <v>38</v>
      </c>
      <c r="C13" s="60">
        <v>0.04</v>
      </c>
    </row>
    <row r="14" spans="1:3" ht="16.5" thickBot="1" x14ac:dyDescent="0.3">
      <c r="A14" s="58"/>
      <c r="B14" s="61" t="s">
        <v>39</v>
      </c>
      <c r="C14" s="60">
        <f>SUM(C11:C13)</f>
        <v>0.25079000000000001</v>
      </c>
    </row>
    <row r="15" spans="1:3" ht="16.5" thickBot="1" x14ac:dyDescent="0.3">
      <c r="A15" s="58"/>
      <c r="B15" s="64" t="s">
        <v>40</v>
      </c>
      <c r="C15" s="60"/>
    </row>
    <row r="16" spans="1:3" ht="79.5" thickBot="1" x14ac:dyDescent="0.3">
      <c r="A16" s="65">
        <v>1100</v>
      </c>
      <c r="B16" s="66" t="s">
        <v>92</v>
      </c>
      <c r="C16" s="60">
        <f>12.97*0.06</f>
        <v>0.7782</v>
      </c>
    </row>
    <row r="17" spans="1:3" ht="16.5" thickBot="1" x14ac:dyDescent="0.3">
      <c r="A17" s="33" t="s">
        <v>43</v>
      </c>
      <c r="B17" s="59" t="s">
        <v>49</v>
      </c>
      <c r="C17" s="60">
        <v>0.43</v>
      </c>
    </row>
    <row r="18" spans="1:3" ht="16.5" thickBot="1" x14ac:dyDescent="0.3">
      <c r="A18" s="58"/>
      <c r="B18" s="61" t="s">
        <v>50</v>
      </c>
      <c r="C18" s="60">
        <f>SUM(C16:C17)</f>
        <v>1.2081999999999999</v>
      </c>
    </row>
    <row r="19" spans="1:3" ht="16.5" thickBot="1" x14ac:dyDescent="0.3">
      <c r="A19" s="58"/>
      <c r="B19" s="59" t="s">
        <v>51</v>
      </c>
      <c r="C19" s="60"/>
    </row>
    <row r="20" spans="1:3" ht="79.5" thickBot="1" x14ac:dyDescent="0.3">
      <c r="A20" s="33">
        <v>1100</v>
      </c>
      <c r="B20" s="37" t="s">
        <v>93</v>
      </c>
      <c r="C20" s="36">
        <f>ROUND((12.97*0.003),2)</f>
        <v>0.04</v>
      </c>
    </row>
    <row r="21" spans="1:3" ht="79.5" thickBot="1" x14ac:dyDescent="0.3">
      <c r="A21" s="33">
        <v>1100</v>
      </c>
      <c r="B21" s="37" t="s">
        <v>94</v>
      </c>
      <c r="C21" s="36">
        <f>ROUND((19.58*0.003),2)</f>
        <v>0.06</v>
      </c>
    </row>
    <row r="22" spans="1:3" ht="16.5" thickBot="1" x14ac:dyDescent="0.3">
      <c r="A22" s="33">
        <v>2239</v>
      </c>
      <c r="B22" s="37" t="s">
        <v>54</v>
      </c>
      <c r="C22" s="36">
        <v>0.18</v>
      </c>
    </row>
    <row r="23" spans="1:3" ht="16.5" thickBot="1" x14ac:dyDescent="0.3">
      <c r="A23" s="33">
        <v>2250</v>
      </c>
      <c r="B23" s="37" t="s">
        <v>28</v>
      </c>
      <c r="C23" s="60">
        <v>0.05</v>
      </c>
    </row>
    <row r="24" spans="1:3" ht="16.5" thickBot="1" x14ac:dyDescent="0.3">
      <c r="A24" s="58"/>
      <c r="B24" s="61" t="s">
        <v>55</v>
      </c>
      <c r="C24" s="60">
        <f>SUM(C20:C23)</f>
        <v>0.33</v>
      </c>
    </row>
    <row r="25" spans="1:3" ht="16.5" thickBot="1" x14ac:dyDescent="0.3">
      <c r="A25" s="58"/>
      <c r="B25" s="61" t="s">
        <v>8</v>
      </c>
      <c r="C25" s="60">
        <f>SUM(C14,C18,C24)</f>
        <v>1.7889900000000001</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0.01</v>
      </c>
    </row>
    <row r="29" spans="1:3" ht="16.5" thickBot="1" x14ac:dyDescent="0.3">
      <c r="A29" s="38">
        <v>2220</v>
      </c>
      <c r="B29" s="40" t="s">
        <v>12</v>
      </c>
      <c r="C29" s="60">
        <v>0.02</v>
      </c>
    </row>
    <row r="30" spans="1:3" ht="16.5" thickBot="1" x14ac:dyDescent="0.3">
      <c r="A30" s="38">
        <v>2240</v>
      </c>
      <c r="B30" s="40" t="s">
        <v>56</v>
      </c>
      <c r="C30" s="60">
        <v>0.05</v>
      </c>
    </row>
    <row r="31" spans="1:3" ht="16.5" thickBot="1" x14ac:dyDescent="0.3">
      <c r="A31" s="38">
        <v>2310</v>
      </c>
      <c r="B31" s="40" t="s">
        <v>15</v>
      </c>
      <c r="C31" s="60">
        <v>0.01</v>
      </c>
    </row>
    <row r="32" spans="1:3" ht="16.5" thickBot="1" x14ac:dyDescent="0.3">
      <c r="A32" s="38">
        <v>2340</v>
      </c>
      <c r="B32" s="40" t="s">
        <v>57</v>
      </c>
      <c r="C32" s="60">
        <v>0.02</v>
      </c>
    </row>
    <row r="33" spans="1:3" ht="16.5" thickBot="1" x14ac:dyDescent="0.3">
      <c r="A33" s="38">
        <v>5200</v>
      </c>
      <c r="B33" s="44" t="s">
        <v>16</v>
      </c>
      <c r="C33" s="60">
        <v>0.08</v>
      </c>
    </row>
    <row r="34" spans="1:3" ht="16.5" thickBot="1" x14ac:dyDescent="0.3">
      <c r="A34" s="58"/>
      <c r="B34" s="61" t="s">
        <v>17</v>
      </c>
      <c r="C34" s="60">
        <f>SUM(C28:C33)</f>
        <v>0.19</v>
      </c>
    </row>
    <row r="35" spans="1:3" ht="16.5" thickBot="1" x14ac:dyDescent="0.3">
      <c r="A35" s="56"/>
      <c r="B35" s="63" t="s">
        <v>18</v>
      </c>
      <c r="C35" s="60">
        <f>ROUND((SUM(C25,C34)),2)</f>
        <v>1.98</v>
      </c>
    </row>
    <row r="36" spans="1:3" ht="16.5" thickBot="1" x14ac:dyDescent="0.3">
      <c r="A36" s="252" t="s">
        <v>19</v>
      </c>
      <c r="B36" s="253"/>
      <c r="C36" s="54">
        <v>1</v>
      </c>
    </row>
    <row r="37" spans="1:3" ht="16.5" thickBot="1" x14ac:dyDescent="0.3">
      <c r="A37" s="252" t="s">
        <v>20</v>
      </c>
      <c r="B37" s="253"/>
      <c r="C37" s="47">
        <f>C35</f>
        <v>1.98</v>
      </c>
    </row>
    <row r="38" spans="1:3" ht="16.5" thickBot="1" x14ac:dyDescent="0.3">
      <c r="A38" s="252" t="s">
        <v>21</v>
      </c>
      <c r="B38" s="253"/>
      <c r="C38" s="48">
        <v>1000</v>
      </c>
    </row>
    <row r="39" spans="1:3" ht="16.5" thickBot="1" x14ac:dyDescent="0.3">
      <c r="A39" s="252" t="s">
        <v>22</v>
      </c>
      <c r="B39" s="253"/>
      <c r="C39" s="47">
        <f>C38*C37</f>
        <v>1980</v>
      </c>
    </row>
  </sheetData>
  <mergeCells count="5">
    <mergeCell ref="B3:C3"/>
    <mergeCell ref="A36:B36"/>
    <mergeCell ref="A37:B37"/>
    <mergeCell ref="A38:B38"/>
    <mergeCell ref="A39:B39"/>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C501-C644-4E81-805B-CA2230B99BA1}">
  <sheetPr>
    <tabColor theme="9" tint="0.79998168889431442"/>
  </sheetPr>
  <dimension ref="A1:C39"/>
  <sheetViews>
    <sheetView topLeftCell="A16"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30"/>
    </row>
    <row r="3" spans="1:3" ht="15.75" x14ac:dyDescent="0.25">
      <c r="A3" s="31"/>
      <c r="B3" s="29" t="s">
        <v>95</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96</v>
      </c>
      <c r="C16" s="60">
        <f>12.97*0.033</f>
        <v>0.42801000000000006</v>
      </c>
    </row>
    <row r="17" spans="1:3" ht="16.5" thickBot="1" x14ac:dyDescent="0.3">
      <c r="A17" s="33" t="s">
        <v>43</v>
      </c>
      <c r="B17" s="59" t="s">
        <v>49</v>
      </c>
      <c r="C17" s="60">
        <v>0.16</v>
      </c>
    </row>
    <row r="18" spans="1:3" ht="16.5" thickBot="1" x14ac:dyDescent="0.3">
      <c r="A18" s="58"/>
      <c r="B18" s="61" t="s">
        <v>50</v>
      </c>
      <c r="C18" s="60">
        <f>SUM(C16:C17)</f>
        <v>0.58801000000000003</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4.0807599999999997</v>
      </c>
    </row>
    <row r="26" spans="1:3" ht="16.5" thickBot="1" x14ac:dyDescent="0.3">
      <c r="A26" s="58"/>
      <c r="B26" s="59"/>
      <c r="C26" s="57"/>
    </row>
    <row r="27" spans="1:3" ht="16.5" thickBot="1" x14ac:dyDescent="0.3">
      <c r="A27" s="58"/>
      <c r="B27" s="57" t="s">
        <v>9</v>
      </c>
      <c r="C27" s="57" t="s">
        <v>4</v>
      </c>
    </row>
    <row r="28" spans="1:3" ht="16.5" thickBot="1" x14ac:dyDescent="0.3">
      <c r="A28" s="33">
        <v>1100</v>
      </c>
      <c r="B28" s="40" t="s">
        <v>30</v>
      </c>
      <c r="C28" s="57">
        <v>0.03</v>
      </c>
    </row>
    <row r="29" spans="1:3" ht="16.5" thickBot="1" x14ac:dyDescent="0.3">
      <c r="A29" s="38">
        <v>2220</v>
      </c>
      <c r="B29" s="40" t="s">
        <v>12</v>
      </c>
      <c r="C29" s="57">
        <v>0.04</v>
      </c>
    </row>
    <row r="30" spans="1:3" ht="16.5" thickBot="1" x14ac:dyDescent="0.3">
      <c r="A30" s="38">
        <v>2240</v>
      </c>
      <c r="B30" s="40" t="s">
        <v>56</v>
      </c>
      <c r="C30" s="57">
        <v>0.11</v>
      </c>
    </row>
    <row r="31" spans="1:3" ht="16.5" thickBot="1" x14ac:dyDescent="0.3">
      <c r="A31" s="38">
        <v>2310</v>
      </c>
      <c r="B31" s="40" t="s">
        <v>15</v>
      </c>
      <c r="C31" s="57">
        <v>0.02</v>
      </c>
    </row>
    <row r="32" spans="1:3" ht="16.5" thickBot="1" x14ac:dyDescent="0.3">
      <c r="A32" s="38">
        <v>2340</v>
      </c>
      <c r="B32" s="40" t="s">
        <v>57</v>
      </c>
      <c r="C32" s="57">
        <v>0.04</v>
      </c>
    </row>
    <row r="33" spans="1:3" ht="16.5" thickBot="1" x14ac:dyDescent="0.3">
      <c r="A33" s="38">
        <v>5200</v>
      </c>
      <c r="B33" s="44" t="s">
        <v>16</v>
      </c>
      <c r="C33" s="57">
        <v>0.17</v>
      </c>
    </row>
    <row r="34" spans="1:3" ht="16.5" thickBot="1" x14ac:dyDescent="0.3">
      <c r="A34" s="58"/>
      <c r="B34" s="61" t="s">
        <v>17</v>
      </c>
      <c r="C34" s="60">
        <f>SUM(C28:C33)</f>
        <v>0.41000000000000003</v>
      </c>
    </row>
    <row r="35" spans="1:3" ht="16.5" thickBot="1" x14ac:dyDescent="0.3">
      <c r="A35" s="56"/>
      <c r="B35" s="63" t="s">
        <v>18</v>
      </c>
      <c r="C35" s="60">
        <f>ROUND((C25+C34),2)</f>
        <v>4.49</v>
      </c>
    </row>
    <row r="36" spans="1:3" ht="16.5" thickBot="1" x14ac:dyDescent="0.3">
      <c r="A36" s="252" t="s">
        <v>19</v>
      </c>
      <c r="B36" s="253"/>
      <c r="C36" s="46">
        <v>1</v>
      </c>
    </row>
    <row r="37" spans="1:3" ht="16.5" thickBot="1" x14ac:dyDescent="0.3">
      <c r="A37" s="252" t="s">
        <v>20</v>
      </c>
      <c r="B37" s="253"/>
      <c r="C37" s="47">
        <f>C35</f>
        <v>4.49</v>
      </c>
    </row>
    <row r="38" spans="1:3" ht="16.5" thickBot="1" x14ac:dyDescent="0.3">
      <c r="A38" s="252" t="s">
        <v>21</v>
      </c>
      <c r="B38" s="253"/>
      <c r="C38" s="48">
        <v>25</v>
      </c>
    </row>
    <row r="39" spans="1:3" ht="16.5" thickBot="1" x14ac:dyDescent="0.3">
      <c r="A39" s="252" t="s">
        <v>22</v>
      </c>
      <c r="B39" s="253"/>
      <c r="C39" s="47">
        <f>C38*C37</f>
        <v>112.25</v>
      </c>
    </row>
  </sheetData>
  <mergeCells count="4">
    <mergeCell ref="A36:B36"/>
    <mergeCell ref="A37:B37"/>
    <mergeCell ref="A38:B38"/>
    <mergeCell ref="A39:B39"/>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73EC-72F8-42B8-876D-8E88AAA0B2B5}">
  <sheetPr>
    <tabColor theme="9" tint="0.79998168889431442"/>
  </sheetPr>
  <dimension ref="A1:C39"/>
  <sheetViews>
    <sheetView topLeftCell="A20" zoomScale="70" zoomScaleNormal="70" workbookViewId="0">
      <selection activeCell="A2" sqref="A2"/>
    </sheetView>
  </sheetViews>
  <sheetFormatPr defaultRowHeight="15" x14ac:dyDescent="0.25"/>
  <cols>
    <col min="1" max="1" width="21.5703125" bestFit="1" customWidth="1"/>
    <col min="2" max="2" width="110.85546875" customWidth="1"/>
    <col min="3" max="3" width="27.5703125" customWidth="1"/>
  </cols>
  <sheetData>
    <row r="1" spans="1:3" ht="15.75" x14ac:dyDescent="0.25">
      <c r="A1" s="28" t="s">
        <v>66</v>
      </c>
      <c r="B1" s="29" t="s">
        <v>67</v>
      </c>
      <c r="C1" s="30"/>
    </row>
    <row r="2" spans="1:3" ht="31.5" x14ac:dyDescent="0.25">
      <c r="A2" s="31" t="s">
        <v>68</v>
      </c>
      <c r="B2" s="29" t="s">
        <v>69</v>
      </c>
      <c r="C2" s="30"/>
    </row>
    <row r="3" spans="1:3" ht="15.75" x14ac:dyDescent="0.25">
      <c r="A3" s="31"/>
      <c r="B3" s="29" t="s">
        <v>97</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2300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96</v>
      </c>
      <c r="C16" s="60">
        <f>12.97*0.033</f>
        <v>0.42801000000000006</v>
      </c>
    </row>
    <row r="17" spans="1:3" ht="16.5" thickBot="1" x14ac:dyDescent="0.3">
      <c r="A17" s="33" t="s">
        <v>43</v>
      </c>
      <c r="B17" s="59" t="s">
        <v>49</v>
      </c>
      <c r="C17" s="60">
        <v>0.24</v>
      </c>
    </row>
    <row r="18" spans="1:3" ht="16.5" thickBot="1" x14ac:dyDescent="0.3">
      <c r="A18" s="58"/>
      <c r="B18" s="61" t="s">
        <v>50</v>
      </c>
      <c r="C18" s="60">
        <f>SUM(C16:C17)</f>
        <v>0.66800999999999999</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4.1607599999999998</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0.03</v>
      </c>
    </row>
    <row r="29" spans="1:3" ht="16.5" thickBot="1" x14ac:dyDescent="0.3">
      <c r="A29" s="38">
        <v>2220</v>
      </c>
      <c r="B29" s="40" t="s">
        <v>12</v>
      </c>
      <c r="C29" s="60">
        <v>0.04</v>
      </c>
    </row>
    <row r="30" spans="1:3" ht="16.5" thickBot="1" x14ac:dyDescent="0.3">
      <c r="A30" s="38">
        <v>2240</v>
      </c>
      <c r="B30" s="40" t="s">
        <v>56</v>
      </c>
      <c r="C30" s="60">
        <v>0.11</v>
      </c>
    </row>
    <row r="31" spans="1:3" ht="16.5" thickBot="1" x14ac:dyDescent="0.3">
      <c r="A31" s="38">
        <v>2310</v>
      </c>
      <c r="B31" s="40" t="s">
        <v>15</v>
      </c>
      <c r="C31" s="60">
        <v>0.02</v>
      </c>
    </row>
    <row r="32" spans="1:3" ht="16.5" thickBot="1" x14ac:dyDescent="0.3">
      <c r="A32" s="38">
        <v>2340</v>
      </c>
      <c r="B32" s="40" t="s">
        <v>57</v>
      </c>
      <c r="C32" s="60">
        <v>0.04</v>
      </c>
    </row>
    <row r="33" spans="1:3" ht="16.5" thickBot="1" x14ac:dyDescent="0.3">
      <c r="A33" s="38">
        <v>5200</v>
      </c>
      <c r="B33" s="44" t="s">
        <v>16</v>
      </c>
      <c r="C33" s="60">
        <v>0.18</v>
      </c>
    </row>
    <row r="34" spans="1:3" ht="16.5" thickBot="1" x14ac:dyDescent="0.3">
      <c r="A34" s="58"/>
      <c r="B34" s="61" t="s">
        <v>17</v>
      </c>
      <c r="C34" s="60">
        <f>SUM(C28:C33)</f>
        <v>0.42</v>
      </c>
    </row>
    <row r="35" spans="1:3" ht="16.5" thickBot="1" x14ac:dyDescent="0.3">
      <c r="A35" s="56"/>
      <c r="B35" s="63" t="s">
        <v>18</v>
      </c>
      <c r="C35" s="60">
        <f>ROUND((SUM(C25,C34)),2)</f>
        <v>4.58</v>
      </c>
    </row>
    <row r="36" spans="1:3" ht="16.5" thickBot="1" x14ac:dyDescent="0.3">
      <c r="A36" s="252" t="s">
        <v>19</v>
      </c>
      <c r="B36" s="253"/>
      <c r="C36" s="89">
        <v>1</v>
      </c>
    </row>
    <row r="37" spans="1:3" ht="16.5" thickBot="1" x14ac:dyDescent="0.3">
      <c r="A37" s="252" t="s">
        <v>20</v>
      </c>
      <c r="B37" s="253"/>
      <c r="C37" s="47">
        <f>C35</f>
        <v>4.58</v>
      </c>
    </row>
    <row r="38" spans="1:3" ht="16.5" thickBot="1" x14ac:dyDescent="0.3">
      <c r="A38" s="252" t="s">
        <v>21</v>
      </c>
      <c r="B38" s="253"/>
      <c r="C38" s="48">
        <v>25</v>
      </c>
    </row>
    <row r="39" spans="1:3" ht="16.5" thickBot="1" x14ac:dyDescent="0.3">
      <c r="A39" s="252" t="s">
        <v>22</v>
      </c>
      <c r="B39" s="253"/>
      <c r="C39" s="47">
        <f>C38*C37</f>
        <v>114.5</v>
      </c>
    </row>
  </sheetData>
  <mergeCells count="4">
    <mergeCell ref="A36:B36"/>
    <mergeCell ref="A37:B37"/>
    <mergeCell ref="A38:B38"/>
    <mergeCell ref="A39:B39"/>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7A01-C137-443B-85AF-F8271560C177}">
  <sheetPr>
    <tabColor theme="9" tint="0.79998168889431442"/>
  </sheetPr>
  <dimension ref="A1:C42"/>
  <sheetViews>
    <sheetView topLeftCell="A23"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98</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0.62</v>
      </c>
    </row>
    <row r="13" spans="1:3" ht="16.5" thickBot="1" x14ac:dyDescent="0.3">
      <c r="A13" s="38">
        <v>2223</v>
      </c>
      <c r="B13" s="35" t="s">
        <v>38</v>
      </c>
      <c r="C13" s="60">
        <v>0.13</v>
      </c>
    </row>
    <row r="14" spans="1:3" ht="16.5" thickBot="1" x14ac:dyDescent="0.3">
      <c r="A14" s="58"/>
      <c r="B14" s="61" t="s">
        <v>39</v>
      </c>
      <c r="C14" s="60">
        <f>SUM(C11:C13)</f>
        <v>1.72275</v>
      </c>
    </row>
    <row r="15" spans="1:3" ht="16.5" thickBot="1" x14ac:dyDescent="0.3">
      <c r="A15" s="58"/>
      <c r="B15" s="64" t="s">
        <v>40</v>
      </c>
      <c r="C15" s="60"/>
    </row>
    <row r="16" spans="1:3" ht="79.5" thickBot="1" x14ac:dyDescent="0.3">
      <c r="A16" s="65">
        <v>1100</v>
      </c>
      <c r="B16" s="66" t="s">
        <v>99</v>
      </c>
      <c r="C16" s="60">
        <f>12.97*0.15</f>
        <v>1.9455</v>
      </c>
    </row>
    <row r="17" spans="1:3" ht="16.5" thickBot="1" x14ac:dyDescent="0.3">
      <c r="A17" s="33" t="s">
        <v>43</v>
      </c>
      <c r="B17" s="59" t="s">
        <v>49</v>
      </c>
      <c r="C17" s="60">
        <v>2.5339999999999998</v>
      </c>
    </row>
    <row r="18" spans="1:3" ht="16.5" thickBot="1" x14ac:dyDescent="0.3">
      <c r="A18" s="58"/>
      <c r="B18" s="76" t="s">
        <v>78</v>
      </c>
      <c r="C18" s="60"/>
    </row>
    <row r="19" spans="1:3" ht="79.5" thickBot="1" x14ac:dyDescent="0.3">
      <c r="A19" s="65">
        <v>1100</v>
      </c>
      <c r="B19" s="66" t="s">
        <v>96</v>
      </c>
      <c r="C19" s="60">
        <f>12.97*0.033</f>
        <v>0.42801000000000006</v>
      </c>
    </row>
    <row r="20" spans="1:3" ht="16.5" thickBot="1" x14ac:dyDescent="0.3">
      <c r="A20" s="33" t="s">
        <v>43</v>
      </c>
      <c r="B20" s="59" t="s">
        <v>49</v>
      </c>
      <c r="C20" s="60">
        <v>0.56999999999999995</v>
      </c>
    </row>
    <row r="21" spans="1:3" ht="16.5" thickBot="1" x14ac:dyDescent="0.3">
      <c r="A21" s="58"/>
      <c r="B21" s="61" t="s">
        <v>50</v>
      </c>
      <c r="C21" s="60">
        <f>SUM(C16:C17,C19:C20)</f>
        <v>5.4775100000000005</v>
      </c>
    </row>
    <row r="22" spans="1:3" ht="16.5" thickBot="1" x14ac:dyDescent="0.3">
      <c r="A22" s="58"/>
      <c r="B22" s="59" t="s">
        <v>51</v>
      </c>
      <c r="C22" s="60"/>
    </row>
    <row r="23" spans="1:3" ht="79.5" thickBot="1" x14ac:dyDescent="0.3">
      <c r="A23" s="33">
        <v>1100</v>
      </c>
      <c r="B23" s="37" t="s">
        <v>52</v>
      </c>
      <c r="C23" s="36">
        <f>ROUND((12.97*0.038),2)</f>
        <v>0.49</v>
      </c>
    </row>
    <row r="24" spans="1:3" ht="79.5" thickBot="1" x14ac:dyDescent="0.3">
      <c r="A24" s="33">
        <v>1100</v>
      </c>
      <c r="B24" s="37" t="s">
        <v>53</v>
      </c>
      <c r="C24" s="36">
        <f>ROUND((19.58*0.038),2)</f>
        <v>0.74</v>
      </c>
    </row>
    <row r="25" spans="1:3" ht="16.5" thickBot="1" x14ac:dyDescent="0.3">
      <c r="A25" s="33">
        <v>2239</v>
      </c>
      <c r="B25" s="37" t="s">
        <v>54</v>
      </c>
      <c r="C25" s="36">
        <v>0.17</v>
      </c>
    </row>
    <row r="26" spans="1:3" ht="16.5" thickBot="1" x14ac:dyDescent="0.3">
      <c r="A26" s="33">
        <v>2250</v>
      </c>
      <c r="B26" s="37" t="s">
        <v>28</v>
      </c>
      <c r="C26" s="60">
        <v>0.61</v>
      </c>
    </row>
    <row r="27" spans="1:3" ht="16.5" thickBot="1" x14ac:dyDescent="0.3">
      <c r="A27" s="58"/>
      <c r="B27" s="61" t="s">
        <v>55</v>
      </c>
      <c r="C27" s="60">
        <f>SUM(C23:C26)</f>
        <v>2.0099999999999998</v>
      </c>
    </row>
    <row r="28" spans="1:3" ht="16.5" thickBot="1" x14ac:dyDescent="0.3">
      <c r="A28" s="58"/>
      <c r="B28" s="61" t="s">
        <v>8</v>
      </c>
      <c r="C28" s="60">
        <f>SUM(C14,C21,C27)</f>
        <v>9.2102599999999999</v>
      </c>
    </row>
    <row r="29" spans="1:3" ht="16.5" thickBot="1" x14ac:dyDescent="0.3">
      <c r="A29" s="58"/>
      <c r="B29" s="59"/>
      <c r="C29" s="60"/>
    </row>
    <row r="30" spans="1:3" ht="16.5" thickBot="1" x14ac:dyDescent="0.3">
      <c r="A30" s="58"/>
      <c r="B30" s="57" t="s">
        <v>9</v>
      </c>
      <c r="C30" s="60" t="s">
        <v>4</v>
      </c>
    </row>
    <row r="31" spans="1:3" ht="16.5" thickBot="1" x14ac:dyDescent="0.3">
      <c r="A31" s="33">
        <v>1100</v>
      </c>
      <c r="B31" s="40" t="s">
        <v>30</v>
      </c>
      <c r="C31" s="60">
        <v>7.0000000000000007E-2</v>
      </c>
    </row>
    <row r="32" spans="1:3" ht="16.5" thickBot="1" x14ac:dyDescent="0.3">
      <c r="A32" s="38">
        <v>2220</v>
      </c>
      <c r="B32" s="40" t="s">
        <v>12</v>
      </c>
      <c r="C32" s="60">
        <v>0.09</v>
      </c>
    </row>
    <row r="33" spans="1:3" ht="16.5" thickBot="1" x14ac:dyDescent="0.3">
      <c r="A33" s="38">
        <v>2240</v>
      </c>
      <c r="B33" s="40" t="s">
        <v>56</v>
      </c>
      <c r="C33" s="60">
        <v>0.24</v>
      </c>
    </row>
    <row r="34" spans="1:3" ht="16.5" thickBot="1" x14ac:dyDescent="0.3">
      <c r="A34" s="38">
        <v>2310</v>
      </c>
      <c r="B34" s="40" t="s">
        <v>15</v>
      </c>
      <c r="C34" s="60">
        <v>0.04</v>
      </c>
    </row>
    <row r="35" spans="1:3" ht="16.5" thickBot="1" x14ac:dyDescent="0.3">
      <c r="A35" s="38">
        <v>2340</v>
      </c>
      <c r="B35" s="40" t="s">
        <v>57</v>
      </c>
      <c r="C35" s="60">
        <v>0.09</v>
      </c>
    </row>
    <row r="36" spans="1:3" ht="16.5" thickBot="1" x14ac:dyDescent="0.3">
      <c r="A36" s="38">
        <v>5200</v>
      </c>
      <c r="B36" s="44" t="s">
        <v>16</v>
      </c>
      <c r="C36" s="60">
        <v>0.39</v>
      </c>
    </row>
    <row r="37" spans="1:3" ht="16.5" thickBot="1" x14ac:dyDescent="0.3">
      <c r="A37" s="58"/>
      <c r="B37" s="61" t="s">
        <v>17</v>
      </c>
      <c r="C37" s="60">
        <f>SUM(C31:C36)</f>
        <v>0.92</v>
      </c>
    </row>
    <row r="38" spans="1:3" ht="16.5" thickBot="1" x14ac:dyDescent="0.3">
      <c r="A38" s="56"/>
      <c r="B38" s="63" t="s">
        <v>18</v>
      </c>
      <c r="C38" s="60">
        <f>ROUND((SUM(C28,C37)),2)</f>
        <v>10.130000000000001</v>
      </c>
    </row>
    <row r="39" spans="1:3" ht="16.5" thickBot="1" x14ac:dyDescent="0.3">
      <c r="A39" s="252" t="s">
        <v>19</v>
      </c>
      <c r="B39" s="253"/>
      <c r="C39" s="89">
        <v>1</v>
      </c>
    </row>
    <row r="40" spans="1:3" ht="16.5" thickBot="1" x14ac:dyDescent="0.3">
      <c r="A40" s="252" t="s">
        <v>20</v>
      </c>
      <c r="B40" s="253"/>
      <c r="C40" s="47">
        <f>C38</f>
        <v>10.130000000000001</v>
      </c>
    </row>
    <row r="41" spans="1:3" ht="16.5" thickBot="1" x14ac:dyDescent="0.3">
      <c r="A41" s="252" t="s">
        <v>21</v>
      </c>
      <c r="B41" s="253"/>
      <c r="C41" s="48">
        <v>75</v>
      </c>
    </row>
    <row r="42" spans="1:3" ht="16.5" thickBot="1" x14ac:dyDescent="0.3">
      <c r="A42" s="252" t="s">
        <v>22</v>
      </c>
      <c r="B42" s="253"/>
      <c r="C42" s="47">
        <f>C41*C40</f>
        <v>759.75000000000011</v>
      </c>
    </row>
  </sheetData>
  <mergeCells count="5">
    <mergeCell ref="B3:C3"/>
    <mergeCell ref="A39:B39"/>
    <mergeCell ref="A40:B40"/>
    <mergeCell ref="A41:B41"/>
    <mergeCell ref="A42:B42"/>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C0C5-8E91-4CCD-861E-475C5758CA33}">
  <sheetPr>
    <tabColor theme="9" tint="0.79998168889431442"/>
  </sheetPr>
  <dimension ref="A1:C39"/>
  <sheetViews>
    <sheetView topLeftCell="A19"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100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0.23</v>
      </c>
    </row>
    <row r="13" spans="1:3" ht="16.5" thickBot="1" x14ac:dyDescent="0.3">
      <c r="A13" s="38">
        <v>2223</v>
      </c>
      <c r="B13" s="35" t="s">
        <v>38</v>
      </c>
      <c r="C13" s="60">
        <v>0.13</v>
      </c>
    </row>
    <row r="14" spans="1:3" ht="16.5" thickBot="1" x14ac:dyDescent="0.3">
      <c r="A14" s="58"/>
      <c r="B14" s="61" t="s">
        <v>39</v>
      </c>
      <c r="C14" s="60">
        <f>SUM(C11:C13)</f>
        <v>1.3327499999999999</v>
      </c>
    </row>
    <row r="15" spans="1:3" ht="16.5" thickBot="1" x14ac:dyDescent="0.3">
      <c r="A15" s="58"/>
      <c r="B15" s="64" t="s">
        <v>40</v>
      </c>
      <c r="C15" s="60"/>
    </row>
    <row r="16" spans="1:3" ht="79.5" thickBot="1" x14ac:dyDescent="0.3">
      <c r="A16" s="65">
        <v>1100</v>
      </c>
      <c r="B16" s="66" t="s">
        <v>89</v>
      </c>
      <c r="C16" s="60">
        <f>12.97*0.2</f>
        <v>2.5940000000000003</v>
      </c>
    </row>
    <row r="17" spans="1:3" ht="16.5" thickBot="1" x14ac:dyDescent="0.3">
      <c r="A17" s="33" t="s">
        <v>43</v>
      </c>
      <c r="B17" s="59" t="s">
        <v>49</v>
      </c>
      <c r="C17" s="60">
        <v>12.42</v>
      </c>
    </row>
    <row r="18" spans="1:3" ht="16.5" thickBot="1" x14ac:dyDescent="0.3">
      <c r="A18" s="58"/>
      <c r="B18" s="61" t="s">
        <v>50</v>
      </c>
      <c r="C18" s="60">
        <f>SUM(C16:C17)</f>
        <v>15.013999999999999</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C14+C18+C24</f>
        <v>18.356749999999998</v>
      </c>
    </row>
    <row r="26" spans="1:3" ht="16.5" thickBot="1" x14ac:dyDescent="0.3">
      <c r="A26" s="58"/>
      <c r="B26" s="59"/>
      <c r="C26" s="57"/>
    </row>
    <row r="27" spans="1:3" ht="16.5" thickBot="1" x14ac:dyDescent="0.3">
      <c r="A27" s="58"/>
      <c r="B27" s="57" t="s">
        <v>9</v>
      </c>
      <c r="C27" s="57" t="s">
        <v>4</v>
      </c>
    </row>
    <row r="28" spans="1:3" ht="16.5" thickBot="1" x14ac:dyDescent="0.3">
      <c r="A28" s="33">
        <v>1100</v>
      </c>
      <c r="B28" s="40" t="s">
        <v>30</v>
      </c>
      <c r="C28" s="60">
        <v>0.14000000000000001</v>
      </c>
    </row>
    <row r="29" spans="1:3" ht="16.5" thickBot="1" x14ac:dyDescent="0.3">
      <c r="A29" s="38">
        <v>2220</v>
      </c>
      <c r="B29" s="40" t="s">
        <v>12</v>
      </c>
      <c r="C29" s="57">
        <v>0.18</v>
      </c>
    </row>
    <row r="30" spans="1:3" ht="16.5" thickBot="1" x14ac:dyDescent="0.3">
      <c r="A30" s="38">
        <v>2240</v>
      </c>
      <c r="B30" s="40" t="s">
        <v>56</v>
      </c>
      <c r="C30" s="57">
        <v>0.48</v>
      </c>
    </row>
    <row r="31" spans="1:3" ht="16.5" thickBot="1" x14ac:dyDescent="0.3">
      <c r="A31" s="38">
        <v>2310</v>
      </c>
      <c r="B31" s="40" t="s">
        <v>15</v>
      </c>
      <c r="C31" s="57">
        <v>0.09</v>
      </c>
    </row>
    <row r="32" spans="1:3" ht="16.5" thickBot="1" x14ac:dyDescent="0.3">
      <c r="A32" s="38">
        <v>2340</v>
      </c>
      <c r="B32" s="40" t="s">
        <v>57</v>
      </c>
      <c r="C32" s="57">
        <v>0.18</v>
      </c>
    </row>
    <row r="33" spans="1:3" ht="16.5" thickBot="1" x14ac:dyDescent="0.3">
      <c r="A33" s="38">
        <v>5200</v>
      </c>
      <c r="B33" s="44" t="s">
        <v>16</v>
      </c>
      <c r="C33" s="57">
        <v>0.77</v>
      </c>
    </row>
    <row r="34" spans="1:3" ht="16.5" thickBot="1" x14ac:dyDescent="0.3">
      <c r="A34" s="58"/>
      <c r="B34" s="61" t="s">
        <v>17</v>
      </c>
      <c r="C34" s="60">
        <f>SUM(C28:C33)</f>
        <v>1.84</v>
      </c>
    </row>
    <row r="35" spans="1:3" ht="16.5" thickBot="1" x14ac:dyDescent="0.3">
      <c r="A35" s="56"/>
      <c r="B35" s="63" t="s">
        <v>18</v>
      </c>
      <c r="C35" s="60">
        <f>ROUND((C25+C34),2)</f>
        <v>20.2</v>
      </c>
    </row>
    <row r="36" spans="1:3" ht="16.5" thickBot="1" x14ac:dyDescent="0.3">
      <c r="A36" s="252" t="s">
        <v>19</v>
      </c>
      <c r="B36" s="253"/>
      <c r="C36" s="46">
        <v>1</v>
      </c>
    </row>
    <row r="37" spans="1:3" ht="16.5" thickBot="1" x14ac:dyDescent="0.3">
      <c r="A37" s="252" t="s">
        <v>20</v>
      </c>
      <c r="B37" s="253"/>
      <c r="C37" s="47">
        <f>C35</f>
        <v>20.2</v>
      </c>
    </row>
    <row r="38" spans="1:3" ht="16.5" thickBot="1" x14ac:dyDescent="0.3">
      <c r="A38" s="252" t="s">
        <v>21</v>
      </c>
      <c r="B38" s="253"/>
      <c r="C38" s="48">
        <v>50</v>
      </c>
    </row>
    <row r="39" spans="1:3" ht="16.5" thickBot="1" x14ac:dyDescent="0.3">
      <c r="A39" s="252" t="s">
        <v>22</v>
      </c>
      <c r="B39" s="253"/>
      <c r="C39" s="47">
        <f>C37*C38</f>
        <v>1010</v>
      </c>
    </row>
  </sheetData>
  <mergeCells count="5">
    <mergeCell ref="A36:B36"/>
    <mergeCell ref="A37:B37"/>
    <mergeCell ref="A38:B38"/>
    <mergeCell ref="A39:B39"/>
    <mergeCell ref="B3:C3"/>
  </mergeCell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1ACC-E5AA-426F-88F3-71C1DC3F9615}">
  <sheetPr>
    <tabColor theme="9" tint="0.79998168889431442"/>
  </sheetPr>
  <dimension ref="A1:C39"/>
  <sheetViews>
    <sheetView topLeftCell="A20"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101</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102</v>
      </c>
      <c r="C16" s="60">
        <f>12.97*0.167</f>
        <v>2.1659900000000003</v>
      </c>
    </row>
    <row r="17" spans="1:3" ht="16.5" thickBot="1" x14ac:dyDescent="0.3">
      <c r="A17" s="33" t="s">
        <v>43</v>
      </c>
      <c r="B17" s="59" t="s">
        <v>49</v>
      </c>
      <c r="C17" s="60">
        <v>7.99</v>
      </c>
    </row>
    <row r="18" spans="1:3" ht="16.5" thickBot="1" x14ac:dyDescent="0.3">
      <c r="A18" s="58"/>
      <c r="B18" s="61" t="s">
        <v>50</v>
      </c>
      <c r="C18" s="60">
        <f>SUM(C16:C17)</f>
        <v>10.155990000000001</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13.64874</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0.1</v>
      </c>
    </row>
    <row r="29" spans="1:3" ht="16.5" thickBot="1" x14ac:dyDescent="0.3">
      <c r="A29" s="38">
        <v>2220</v>
      </c>
      <c r="B29" s="40" t="s">
        <v>12</v>
      </c>
      <c r="C29" s="60">
        <v>0.13</v>
      </c>
    </row>
    <row r="30" spans="1:3" ht="16.5" thickBot="1" x14ac:dyDescent="0.3">
      <c r="A30" s="38">
        <v>2240</v>
      </c>
      <c r="B30" s="40" t="s">
        <v>56</v>
      </c>
      <c r="C30" s="60">
        <v>0.35</v>
      </c>
    </row>
    <row r="31" spans="1:3" ht="16.5" thickBot="1" x14ac:dyDescent="0.3">
      <c r="A31" s="38">
        <v>2310</v>
      </c>
      <c r="B31" s="40" t="s">
        <v>15</v>
      </c>
      <c r="C31" s="60">
        <v>7.0000000000000007E-2</v>
      </c>
    </row>
    <row r="32" spans="1:3" ht="16.5" thickBot="1" x14ac:dyDescent="0.3">
      <c r="A32" s="38">
        <v>2340</v>
      </c>
      <c r="B32" s="40" t="s">
        <v>57</v>
      </c>
      <c r="C32" s="60">
        <v>0.13</v>
      </c>
    </row>
    <row r="33" spans="1:3" ht="16.5" thickBot="1" x14ac:dyDescent="0.3">
      <c r="A33" s="38">
        <v>5200</v>
      </c>
      <c r="B33" s="44" t="s">
        <v>16</v>
      </c>
      <c r="C33" s="60">
        <v>0.56999999999999995</v>
      </c>
    </row>
    <row r="34" spans="1:3" ht="16.5" thickBot="1" x14ac:dyDescent="0.3">
      <c r="A34" s="58"/>
      <c r="B34" s="61" t="s">
        <v>17</v>
      </c>
      <c r="C34" s="60">
        <f>SUM(C28:C33)</f>
        <v>1.3499999999999999</v>
      </c>
    </row>
    <row r="35" spans="1:3" ht="16.5" thickBot="1" x14ac:dyDescent="0.3">
      <c r="A35" s="56"/>
      <c r="B35" s="63" t="s">
        <v>18</v>
      </c>
      <c r="C35" s="60">
        <f>ROUND((SUM(C25,C34)),2)</f>
        <v>15</v>
      </c>
    </row>
    <row r="36" spans="1:3" ht="16.5" thickBot="1" x14ac:dyDescent="0.3">
      <c r="A36" s="264" t="s">
        <v>19</v>
      </c>
      <c r="B36" s="265"/>
      <c r="C36" s="89">
        <v>1</v>
      </c>
    </row>
    <row r="37" spans="1:3" ht="16.5" thickBot="1" x14ac:dyDescent="0.3">
      <c r="A37" s="252" t="s">
        <v>20</v>
      </c>
      <c r="B37" s="253"/>
      <c r="C37" s="47">
        <f>C35</f>
        <v>15</v>
      </c>
    </row>
    <row r="38" spans="1:3" ht="16.5" thickBot="1" x14ac:dyDescent="0.3">
      <c r="A38" s="252" t="s">
        <v>21</v>
      </c>
      <c r="B38" s="253"/>
      <c r="C38" s="48">
        <v>50</v>
      </c>
    </row>
    <row r="39" spans="1:3" ht="16.5" thickBot="1" x14ac:dyDescent="0.3">
      <c r="A39" s="252" t="s">
        <v>22</v>
      </c>
      <c r="B39" s="253"/>
      <c r="C39" s="47">
        <f>C38*C37</f>
        <v>750</v>
      </c>
    </row>
  </sheetData>
  <mergeCells count="5">
    <mergeCell ref="B3:C3"/>
    <mergeCell ref="A36:B36"/>
    <mergeCell ref="A37:B37"/>
    <mergeCell ref="A38:B38"/>
    <mergeCell ref="A39:B39"/>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9D44-0132-4ED1-B70E-3ECB15C9CA68}">
  <sheetPr>
    <tabColor theme="9" tint="0.79998168889431442"/>
  </sheetPr>
  <dimension ref="A1:C39"/>
  <sheetViews>
    <sheetView topLeftCell="A21"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30"/>
    </row>
    <row r="3" spans="1:3" ht="15.75" x14ac:dyDescent="0.25">
      <c r="A3" s="31"/>
      <c r="B3" s="29" t="s">
        <v>115</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116</v>
      </c>
      <c r="C16" s="60">
        <f>12.97*0.117</f>
        <v>1.5174900000000002</v>
      </c>
    </row>
    <row r="17" spans="1:3" ht="16.5" thickBot="1" x14ac:dyDescent="0.3">
      <c r="A17" s="33" t="s">
        <v>43</v>
      </c>
      <c r="B17" s="59" t="s">
        <v>49</v>
      </c>
      <c r="C17" s="60">
        <v>9.02</v>
      </c>
    </row>
    <row r="18" spans="1:3" ht="16.5" thickBot="1" x14ac:dyDescent="0.3">
      <c r="A18" s="58"/>
      <c r="B18" s="61" t="s">
        <v>50</v>
      </c>
      <c r="C18" s="60">
        <f>SUM(C16:C17)</f>
        <v>10.53749</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14.030239999999999</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0.11</v>
      </c>
    </row>
    <row r="29" spans="1:3" ht="16.5" thickBot="1" x14ac:dyDescent="0.3">
      <c r="A29" s="38">
        <v>2220</v>
      </c>
      <c r="B29" s="40" t="s">
        <v>12</v>
      </c>
      <c r="C29" s="60">
        <v>0.14000000000000001</v>
      </c>
    </row>
    <row r="30" spans="1:3" ht="16.5" thickBot="1" x14ac:dyDescent="0.3">
      <c r="A30" s="38">
        <v>2240</v>
      </c>
      <c r="B30" s="40" t="s">
        <v>56</v>
      </c>
      <c r="C30" s="60">
        <v>0.36</v>
      </c>
    </row>
    <row r="31" spans="1:3" ht="16.5" thickBot="1" x14ac:dyDescent="0.3">
      <c r="A31" s="38">
        <v>2310</v>
      </c>
      <c r="B31" s="40" t="s">
        <v>15</v>
      </c>
      <c r="C31" s="60">
        <v>7.0000000000000007E-2</v>
      </c>
    </row>
    <row r="32" spans="1:3" ht="16.5" thickBot="1" x14ac:dyDescent="0.3">
      <c r="A32" s="38">
        <v>2340</v>
      </c>
      <c r="B32" s="40" t="s">
        <v>57</v>
      </c>
      <c r="C32" s="60">
        <v>0.14000000000000001</v>
      </c>
    </row>
    <row r="33" spans="1:3" ht="16.5" thickBot="1" x14ac:dyDescent="0.3">
      <c r="A33" s="38">
        <v>5200</v>
      </c>
      <c r="B33" s="44" t="s">
        <v>16</v>
      </c>
      <c r="C33" s="60">
        <v>0.59</v>
      </c>
    </row>
    <row r="34" spans="1:3" ht="16.5" thickBot="1" x14ac:dyDescent="0.3">
      <c r="A34" s="58"/>
      <c r="B34" s="61" t="s">
        <v>17</v>
      </c>
      <c r="C34" s="60">
        <f>SUM(C28:C33)</f>
        <v>1.41</v>
      </c>
    </row>
    <row r="35" spans="1:3" ht="16.5" thickBot="1" x14ac:dyDescent="0.3">
      <c r="A35" s="56"/>
      <c r="B35" s="63" t="s">
        <v>18</v>
      </c>
      <c r="C35" s="60">
        <f>ROUND((SUM(C25,C34)),2)</f>
        <v>15.44</v>
      </c>
    </row>
    <row r="36" spans="1:3" ht="16.5" thickBot="1" x14ac:dyDescent="0.3">
      <c r="A36" s="252" t="s">
        <v>19</v>
      </c>
      <c r="B36" s="253"/>
      <c r="C36" s="46">
        <v>1</v>
      </c>
    </row>
    <row r="37" spans="1:3" ht="16.5" thickBot="1" x14ac:dyDescent="0.3">
      <c r="A37" s="252" t="s">
        <v>20</v>
      </c>
      <c r="B37" s="253"/>
      <c r="C37" s="47">
        <f>C35</f>
        <v>15.44</v>
      </c>
    </row>
    <row r="38" spans="1:3" ht="16.5" thickBot="1" x14ac:dyDescent="0.3">
      <c r="A38" s="252" t="s">
        <v>21</v>
      </c>
      <c r="B38" s="253"/>
      <c r="C38" s="48">
        <v>50</v>
      </c>
    </row>
    <row r="39" spans="1:3" ht="16.5" thickBot="1" x14ac:dyDescent="0.3">
      <c r="A39" s="252" t="s">
        <v>22</v>
      </c>
      <c r="B39" s="253"/>
      <c r="C39" s="47">
        <f>C38*C37</f>
        <v>772</v>
      </c>
    </row>
  </sheetData>
  <mergeCells count="4">
    <mergeCell ref="A36:B36"/>
    <mergeCell ref="A37:B37"/>
    <mergeCell ref="A38:B38"/>
    <mergeCell ref="A39:B39"/>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A0C4-B1A2-41F8-993E-2B8429EF19BD}">
  <sheetPr>
    <tabColor theme="9" tint="0.79998168889431442"/>
  </sheetPr>
  <dimension ref="A1:C39"/>
  <sheetViews>
    <sheetView topLeftCell="A19"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117</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90">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90"/>
      <c r="B14" s="61" t="s">
        <v>39</v>
      </c>
      <c r="C14" s="60">
        <f>SUM(C11:C13)</f>
        <v>1.4827499999999998</v>
      </c>
    </row>
    <row r="15" spans="1:3" ht="16.5" thickBot="1" x14ac:dyDescent="0.3">
      <c r="A15" s="90"/>
      <c r="B15" s="64" t="s">
        <v>40</v>
      </c>
      <c r="C15" s="60"/>
    </row>
    <row r="16" spans="1:3" ht="79.5" thickBot="1" x14ac:dyDescent="0.3">
      <c r="A16" s="91">
        <v>1100</v>
      </c>
      <c r="B16" s="66" t="s">
        <v>118</v>
      </c>
      <c r="C16" s="60">
        <f>12.97*0.133</f>
        <v>1.7250100000000002</v>
      </c>
    </row>
    <row r="17" spans="1:3" ht="16.5" thickBot="1" x14ac:dyDescent="0.3">
      <c r="A17" s="33" t="s">
        <v>43</v>
      </c>
      <c r="B17" s="59" t="s">
        <v>49</v>
      </c>
      <c r="C17" s="60">
        <v>21.3</v>
      </c>
    </row>
    <row r="18" spans="1:3" ht="16.5" thickBot="1" x14ac:dyDescent="0.3">
      <c r="A18" s="58"/>
      <c r="B18" s="61" t="s">
        <v>50</v>
      </c>
      <c r="C18" s="60">
        <f>SUM(C16:C17)</f>
        <v>23.025010000000002</v>
      </c>
    </row>
    <row r="19" spans="1:3" ht="16.5" thickBot="1" x14ac:dyDescent="0.3">
      <c r="A19" s="58"/>
      <c r="B19" s="59" t="s">
        <v>51</v>
      </c>
      <c r="C19" s="60"/>
    </row>
    <row r="20" spans="1:3" ht="79.5" thickBot="1" x14ac:dyDescent="0.3">
      <c r="A20" s="90">
        <v>1100</v>
      </c>
      <c r="B20" s="37" t="s">
        <v>52</v>
      </c>
      <c r="C20" s="36">
        <f>ROUND((12.97*0.038),2)</f>
        <v>0.49</v>
      </c>
    </row>
    <row r="21" spans="1:3" ht="79.5" thickBot="1" x14ac:dyDescent="0.3">
      <c r="A21" s="90">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26.517760000000003</v>
      </c>
    </row>
    <row r="26" spans="1:3" ht="16.5" thickBot="1" x14ac:dyDescent="0.3">
      <c r="A26" s="58"/>
      <c r="B26" s="59"/>
      <c r="C26" s="57"/>
    </row>
    <row r="27" spans="1:3" ht="16.5" thickBot="1" x14ac:dyDescent="0.3">
      <c r="A27" s="58"/>
      <c r="B27" s="57" t="s">
        <v>9</v>
      </c>
      <c r="C27" s="57" t="s">
        <v>4</v>
      </c>
    </row>
    <row r="28" spans="1:3" ht="16.5" thickBot="1" x14ac:dyDescent="0.3">
      <c r="A28" s="33">
        <v>1100</v>
      </c>
      <c r="B28" s="40" t="s">
        <v>30</v>
      </c>
      <c r="C28" s="57">
        <v>0.2</v>
      </c>
    </row>
    <row r="29" spans="1:3" ht="16.5" thickBot="1" x14ac:dyDescent="0.3">
      <c r="A29" s="38">
        <v>2220</v>
      </c>
      <c r="B29" s="40" t="s">
        <v>12</v>
      </c>
      <c r="C29" s="57">
        <v>0.26</v>
      </c>
    </row>
    <row r="30" spans="1:3" ht="16.5" thickBot="1" x14ac:dyDescent="0.3">
      <c r="A30" s="38">
        <v>2240</v>
      </c>
      <c r="B30" s="40" t="s">
        <v>56</v>
      </c>
      <c r="C30" s="57">
        <v>0.69</v>
      </c>
    </row>
    <row r="31" spans="1:3" ht="16.5" thickBot="1" x14ac:dyDescent="0.3">
      <c r="A31" s="38">
        <v>2310</v>
      </c>
      <c r="B31" s="40" t="s">
        <v>15</v>
      </c>
      <c r="C31" s="57">
        <v>0.13</v>
      </c>
    </row>
    <row r="32" spans="1:3" ht="16.5" thickBot="1" x14ac:dyDescent="0.3">
      <c r="A32" s="38">
        <v>2340</v>
      </c>
      <c r="B32" s="40" t="s">
        <v>57</v>
      </c>
      <c r="C32" s="57">
        <v>0.26</v>
      </c>
    </row>
    <row r="33" spans="1:3" ht="16.5" thickBot="1" x14ac:dyDescent="0.3">
      <c r="A33" s="38">
        <v>5200</v>
      </c>
      <c r="B33" s="44" t="s">
        <v>16</v>
      </c>
      <c r="C33" s="57">
        <v>1.1200000000000001</v>
      </c>
    </row>
    <row r="34" spans="1:3" ht="16.5" thickBot="1" x14ac:dyDescent="0.3">
      <c r="A34" s="58"/>
      <c r="B34" s="61" t="s">
        <v>17</v>
      </c>
      <c r="C34" s="60">
        <f>SUM(C28:C33)</f>
        <v>2.66</v>
      </c>
    </row>
    <row r="35" spans="1:3" ht="16.5" thickBot="1" x14ac:dyDescent="0.3">
      <c r="A35" s="56"/>
      <c r="B35" s="63" t="s">
        <v>18</v>
      </c>
      <c r="C35" s="60">
        <f>ROUND((SUM(C25,C34)),2)</f>
        <v>29.18</v>
      </c>
    </row>
    <row r="36" spans="1:3" ht="16.5" thickBot="1" x14ac:dyDescent="0.3">
      <c r="A36" s="252" t="s">
        <v>19</v>
      </c>
      <c r="B36" s="253"/>
      <c r="C36" s="46">
        <v>1</v>
      </c>
    </row>
    <row r="37" spans="1:3" ht="16.5" thickBot="1" x14ac:dyDescent="0.3">
      <c r="A37" s="252" t="s">
        <v>20</v>
      </c>
      <c r="B37" s="253"/>
      <c r="C37" s="47">
        <f>C35</f>
        <v>29.18</v>
      </c>
    </row>
    <row r="38" spans="1:3" ht="16.5" thickBot="1" x14ac:dyDescent="0.3">
      <c r="A38" s="252" t="s">
        <v>21</v>
      </c>
      <c r="B38" s="253"/>
      <c r="C38" s="48">
        <v>50</v>
      </c>
    </row>
    <row r="39" spans="1:3" ht="16.5" thickBot="1" x14ac:dyDescent="0.3">
      <c r="A39" s="252" t="s">
        <v>22</v>
      </c>
      <c r="B39" s="253"/>
      <c r="C39" s="47">
        <f>C38*C37</f>
        <v>1459</v>
      </c>
    </row>
  </sheetData>
  <mergeCells count="5">
    <mergeCell ref="B3:C3"/>
    <mergeCell ref="A36:B36"/>
    <mergeCell ref="A37:B37"/>
    <mergeCell ref="A38:B38"/>
    <mergeCell ref="A39:B39"/>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1187-2A63-4A97-88BE-AB81346555E5}">
  <sheetPr>
    <tabColor theme="9" tint="0.79998168889431442"/>
  </sheetPr>
  <dimension ref="A1:C24"/>
  <sheetViews>
    <sheetView topLeftCell="A7"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119</v>
      </c>
      <c r="C2" s="29"/>
    </row>
    <row r="3" spans="1:3" ht="15.75" x14ac:dyDescent="0.25">
      <c r="A3" s="31"/>
      <c r="B3" s="252" t="s">
        <v>120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121</v>
      </c>
      <c r="C10" s="36">
        <v>2.14</v>
      </c>
    </row>
    <row r="11" spans="1:3" ht="16.5" thickBot="1" x14ac:dyDescent="0.3">
      <c r="A11" s="34"/>
      <c r="B11" s="39" t="s">
        <v>8</v>
      </c>
      <c r="C11" s="92">
        <f>SUM(C10:C10)</f>
        <v>2.14</v>
      </c>
    </row>
    <row r="12" spans="1:3" ht="16.5" thickBot="1" x14ac:dyDescent="0.3">
      <c r="A12" s="34"/>
      <c r="B12" s="33" t="s">
        <v>9</v>
      </c>
      <c r="C12" s="36" t="s">
        <v>4</v>
      </c>
    </row>
    <row r="13" spans="1:3" ht="16.5" thickBot="1" x14ac:dyDescent="0.3">
      <c r="A13" s="33">
        <v>1100</v>
      </c>
      <c r="B13" s="40" t="s">
        <v>30</v>
      </c>
      <c r="C13" s="36">
        <v>0.03</v>
      </c>
    </row>
    <row r="14" spans="1:3" ht="16.5" thickBot="1" x14ac:dyDescent="0.3">
      <c r="A14" s="93">
        <v>2210</v>
      </c>
      <c r="B14" s="62" t="s">
        <v>11</v>
      </c>
      <c r="C14" s="36">
        <v>0.01</v>
      </c>
    </row>
    <row r="15" spans="1:3" ht="16.5" thickBot="1" x14ac:dyDescent="0.3">
      <c r="A15" s="38">
        <v>2220</v>
      </c>
      <c r="B15" s="40" t="s">
        <v>12</v>
      </c>
      <c r="C15" s="36">
        <v>0.04</v>
      </c>
    </row>
    <row r="16" spans="1:3" ht="16.5" thickBot="1" x14ac:dyDescent="0.3">
      <c r="A16" s="38">
        <v>2240</v>
      </c>
      <c r="B16" s="40" t="s">
        <v>56</v>
      </c>
      <c r="C16" s="36">
        <v>0.09</v>
      </c>
    </row>
    <row r="17" spans="1:3" ht="16.5" thickBot="1" x14ac:dyDescent="0.3">
      <c r="A17" s="38">
        <v>2310</v>
      </c>
      <c r="B17" s="40" t="s">
        <v>15</v>
      </c>
      <c r="C17" s="36">
        <v>0.02</v>
      </c>
    </row>
    <row r="18" spans="1:3" ht="16.5" thickBot="1" x14ac:dyDescent="0.3">
      <c r="A18" s="38">
        <v>5200</v>
      </c>
      <c r="B18" s="44" t="s">
        <v>16</v>
      </c>
      <c r="C18" s="36">
        <v>0.02</v>
      </c>
    </row>
    <row r="19" spans="1:3" ht="16.5" thickBot="1" x14ac:dyDescent="0.3">
      <c r="A19" s="34"/>
      <c r="B19" s="39" t="s">
        <v>17</v>
      </c>
      <c r="C19" s="36">
        <f>SUM(C13:C18)</f>
        <v>0.20999999999999996</v>
      </c>
    </row>
    <row r="20" spans="1:3" ht="16.5" thickBot="1" x14ac:dyDescent="0.3">
      <c r="A20" s="33"/>
      <c r="B20" s="45" t="s">
        <v>18</v>
      </c>
      <c r="C20" s="36">
        <f>ROUND((SUM(C11,C19)),2)</f>
        <v>2.35</v>
      </c>
    </row>
    <row r="21" spans="1:3" ht="16.5" thickBot="1" x14ac:dyDescent="0.3">
      <c r="A21" s="252" t="s">
        <v>19</v>
      </c>
      <c r="B21" s="253"/>
      <c r="C21" s="88">
        <v>1</v>
      </c>
    </row>
    <row r="22" spans="1:3" ht="16.5" thickBot="1" x14ac:dyDescent="0.3">
      <c r="A22" s="252" t="s">
        <v>20</v>
      </c>
      <c r="B22" s="253"/>
      <c r="C22" s="47">
        <f>C20</f>
        <v>2.35</v>
      </c>
    </row>
    <row r="23" spans="1:3" ht="16.5" thickBot="1" x14ac:dyDescent="0.3">
      <c r="A23" s="252" t="s">
        <v>21</v>
      </c>
      <c r="B23" s="253"/>
      <c r="C23" s="88">
        <v>9100</v>
      </c>
    </row>
    <row r="24" spans="1:3" ht="16.5" thickBot="1" x14ac:dyDescent="0.3">
      <c r="A24" s="252" t="s">
        <v>22</v>
      </c>
      <c r="B24" s="253"/>
      <c r="C24" s="47">
        <f>C23*C22</f>
        <v>21385</v>
      </c>
    </row>
  </sheetData>
  <mergeCells count="5">
    <mergeCell ref="B3:C3"/>
    <mergeCell ref="A21:B21"/>
    <mergeCell ref="A22:B22"/>
    <mergeCell ref="A23:B23"/>
    <mergeCell ref="A24:B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0851-D7A8-48A0-99F5-6CAB9789EE10}">
  <sheetPr>
    <tabColor theme="9" tint="0.79998168889431442"/>
  </sheetPr>
  <dimension ref="A1:C23"/>
  <sheetViews>
    <sheetView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233</v>
      </c>
      <c r="C2" s="252"/>
    </row>
    <row r="3" spans="1:3" ht="15.75" x14ac:dyDescent="0.25">
      <c r="A3" s="31" t="s">
        <v>71</v>
      </c>
      <c r="B3" s="29" t="s">
        <v>187</v>
      </c>
      <c r="C3" s="30"/>
    </row>
    <row r="4" spans="1:3" ht="15.75" x14ac:dyDescent="0.25">
      <c r="A4" s="29"/>
      <c r="B4" s="29"/>
      <c r="C4" s="30"/>
    </row>
    <row r="5" spans="1:3" ht="15.75" x14ac:dyDescent="0.25">
      <c r="A5" s="29"/>
      <c r="B5" s="29"/>
      <c r="C5" s="30"/>
    </row>
    <row r="6" spans="1:3" ht="63" x14ac:dyDescent="0.25">
      <c r="A6" s="112" t="s">
        <v>0</v>
      </c>
      <c r="B6" s="112" t="s">
        <v>1</v>
      </c>
      <c r="C6" s="112" t="s">
        <v>2</v>
      </c>
    </row>
    <row r="7" spans="1:3" ht="15.75" x14ac:dyDescent="0.25">
      <c r="A7" s="112">
        <v>1</v>
      </c>
      <c r="B7" s="112">
        <v>2</v>
      </c>
      <c r="C7" s="112">
        <v>3</v>
      </c>
    </row>
    <row r="8" spans="1:3" ht="15.75" x14ac:dyDescent="0.25">
      <c r="A8" s="113"/>
      <c r="B8" s="112" t="s">
        <v>3</v>
      </c>
      <c r="C8" s="112" t="s">
        <v>4</v>
      </c>
    </row>
    <row r="9" spans="1:3" ht="15.75" x14ac:dyDescent="0.25">
      <c r="A9" s="93">
        <v>2310</v>
      </c>
      <c r="B9" s="114" t="s">
        <v>234</v>
      </c>
      <c r="C9" s="112">
        <v>4.17</v>
      </c>
    </row>
    <row r="10" spans="1:3" ht="15.75" x14ac:dyDescent="0.25">
      <c r="A10" s="113"/>
      <c r="B10" s="118" t="s">
        <v>8</v>
      </c>
      <c r="C10" s="119">
        <f>SUM(C9:C9)</f>
        <v>4.17</v>
      </c>
    </row>
    <row r="11" spans="1:3" ht="15.75" x14ac:dyDescent="0.25">
      <c r="A11" s="113"/>
      <c r="B11" s="112" t="s">
        <v>9</v>
      </c>
      <c r="C11" s="112" t="s">
        <v>4</v>
      </c>
    </row>
    <row r="12" spans="1:3" ht="15.75" x14ac:dyDescent="0.25">
      <c r="A12" s="112">
        <v>1100</v>
      </c>
      <c r="B12" s="124" t="s">
        <v>10</v>
      </c>
      <c r="C12" s="115">
        <v>0.06</v>
      </c>
    </row>
    <row r="13" spans="1:3" ht="15.75" x14ac:dyDescent="0.25">
      <c r="A13" s="125">
        <v>2210</v>
      </c>
      <c r="B13" s="126" t="s">
        <v>11</v>
      </c>
      <c r="C13" s="119">
        <v>0.02</v>
      </c>
    </row>
    <row r="14" spans="1:3" ht="15.75" x14ac:dyDescent="0.25">
      <c r="A14" s="125">
        <v>2220</v>
      </c>
      <c r="B14" s="126" t="s">
        <v>12</v>
      </c>
      <c r="C14" s="115">
        <v>7.0000000000000007E-2</v>
      </c>
    </row>
    <row r="15" spans="1:3" ht="15.75" x14ac:dyDescent="0.25">
      <c r="A15" s="125">
        <v>2240</v>
      </c>
      <c r="B15" s="126" t="s">
        <v>56</v>
      </c>
      <c r="C15" s="115">
        <v>0.2</v>
      </c>
    </row>
    <row r="16" spans="1:3" ht="15.75" x14ac:dyDescent="0.25">
      <c r="A16" s="125">
        <v>2310</v>
      </c>
      <c r="B16" s="126" t="s">
        <v>15</v>
      </c>
      <c r="C16" s="115">
        <v>0.04</v>
      </c>
    </row>
    <row r="17" spans="1:3" ht="15.75" x14ac:dyDescent="0.25">
      <c r="A17" s="120">
        <v>5200</v>
      </c>
      <c r="B17" s="127" t="s">
        <v>201</v>
      </c>
      <c r="C17" s="115">
        <v>0.04</v>
      </c>
    </row>
    <row r="18" spans="1:3" ht="15.75" x14ac:dyDescent="0.25">
      <c r="A18" s="113"/>
      <c r="B18" s="118" t="s">
        <v>17</v>
      </c>
      <c r="C18" s="115">
        <f>SUM(C12:C17)</f>
        <v>0.43</v>
      </c>
    </row>
    <row r="19" spans="1:3" ht="15.75" x14ac:dyDescent="0.25">
      <c r="A19" s="112"/>
      <c r="B19" s="128" t="s">
        <v>18</v>
      </c>
      <c r="C19" s="115">
        <f>ROUND((SUM(C10,C18)),2)</f>
        <v>4.5999999999999996</v>
      </c>
    </row>
    <row r="20" spans="1:3" ht="15.75" x14ac:dyDescent="0.25">
      <c r="A20" s="258" t="s">
        <v>19</v>
      </c>
      <c r="B20" s="258"/>
      <c r="C20" s="120">
        <v>1</v>
      </c>
    </row>
    <row r="21" spans="1:3" ht="15.75" x14ac:dyDescent="0.25">
      <c r="A21" s="258" t="s">
        <v>20</v>
      </c>
      <c r="B21" s="258"/>
      <c r="C21" s="119">
        <f>C19</f>
        <v>4.5999999999999996</v>
      </c>
    </row>
    <row r="22" spans="1:3" ht="15.75" x14ac:dyDescent="0.25">
      <c r="A22" s="258" t="s">
        <v>21</v>
      </c>
      <c r="B22" s="258"/>
      <c r="C22" s="120">
        <v>301</v>
      </c>
    </row>
    <row r="23" spans="1:3" ht="15.75" x14ac:dyDescent="0.25">
      <c r="A23" s="258" t="s">
        <v>22</v>
      </c>
      <c r="B23" s="258"/>
      <c r="C23" s="119">
        <f>C22*C21</f>
        <v>1384.6</v>
      </c>
    </row>
  </sheetData>
  <mergeCells count="5">
    <mergeCell ref="B2:C2"/>
    <mergeCell ref="A20:B20"/>
    <mergeCell ref="A21:B21"/>
    <mergeCell ref="A22:B22"/>
    <mergeCell ref="A23:B23"/>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6F80-E5D5-4038-808F-0A294EFA3018}">
  <sheetPr>
    <tabColor theme="9" tint="0.79998168889431442"/>
  </sheetPr>
  <dimension ref="A1:C24"/>
  <sheetViews>
    <sheetView topLeftCell="A7"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119</v>
      </c>
      <c r="C2" s="29"/>
    </row>
    <row r="3" spans="1:3" ht="15.75" x14ac:dyDescent="0.25">
      <c r="A3" s="31"/>
      <c r="B3" s="252" t="s">
        <v>122</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79.5" thickBot="1" x14ac:dyDescent="0.3">
      <c r="A10" s="33">
        <v>1100</v>
      </c>
      <c r="B10" s="94" t="s">
        <v>123</v>
      </c>
      <c r="C10" s="33">
        <v>0.62</v>
      </c>
    </row>
    <row r="11" spans="1:3" ht="16.5" thickBot="1" x14ac:dyDescent="0.3">
      <c r="A11" s="34"/>
      <c r="B11" s="39" t="s">
        <v>8</v>
      </c>
      <c r="C11" s="43">
        <f>SUM(C10:C10)</f>
        <v>0.62</v>
      </c>
    </row>
    <row r="12" spans="1:3" ht="16.5" thickBot="1" x14ac:dyDescent="0.3">
      <c r="A12" s="34"/>
      <c r="B12" s="33" t="s">
        <v>9</v>
      </c>
      <c r="C12" s="33" t="s">
        <v>4</v>
      </c>
    </row>
    <row r="13" spans="1:3" ht="16.5" thickBot="1" x14ac:dyDescent="0.3">
      <c r="A13" s="33">
        <v>1100</v>
      </c>
      <c r="B13" s="40" t="s">
        <v>30</v>
      </c>
      <c r="C13" s="33">
        <v>0.01</v>
      </c>
    </row>
    <row r="14" spans="1:3" ht="16.5" thickBot="1" x14ac:dyDescent="0.3">
      <c r="A14" s="93">
        <v>2210</v>
      </c>
      <c r="B14" s="62" t="s">
        <v>11</v>
      </c>
      <c r="C14" s="33"/>
    </row>
    <row r="15" spans="1:3" ht="16.5" thickBot="1" x14ac:dyDescent="0.3">
      <c r="A15" s="38">
        <v>2220</v>
      </c>
      <c r="B15" s="40" t="s">
        <v>12</v>
      </c>
      <c r="C15" s="33">
        <v>0.01</v>
      </c>
    </row>
    <row r="16" spans="1:3" ht="16.5" thickBot="1" x14ac:dyDescent="0.3">
      <c r="A16" s="38">
        <v>2240</v>
      </c>
      <c r="B16" s="40" t="s">
        <v>56</v>
      </c>
      <c r="C16" s="33">
        <v>0.03</v>
      </c>
    </row>
    <row r="17" spans="1:3" ht="16.5" thickBot="1" x14ac:dyDescent="0.3">
      <c r="A17" s="38">
        <v>2310</v>
      </c>
      <c r="B17" s="40" t="s">
        <v>15</v>
      </c>
      <c r="C17" s="33">
        <v>0.01</v>
      </c>
    </row>
    <row r="18" spans="1:3" ht="16.5" thickBot="1" x14ac:dyDescent="0.3">
      <c r="A18" s="38">
        <v>5200</v>
      </c>
      <c r="B18" s="44" t="s">
        <v>16</v>
      </c>
      <c r="C18" s="33">
        <v>0.01</v>
      </c>
    </row>
    <row r="19" spans="1:3" ht="16.5" thickBot="1" x14ac:dyDescent="0.3">
      <c r="A19" s="34"/>
      <c r="B19" s="39" t="s">
        <v>17</v>
      </c>
      <c r="C19" s="36">
        <f>SUM(C13:C18)</f>
        <v>7.0000000000000007E-2</v>
      </c>
    </row>
    <row r="20" spans="1:3" ht="16.5" thickBot="1" x14ac:dyDescent="0.3">
      <c r="A20" s="33"/>
      <c r="B20" s="45" t="s">
        <v>18</v>
      </c>
      <c r="C20" s="36">
        <f>ROUND((SUM(C11,C19)),2)</f>
        <v>0.69</v>
      </c>
    </row>
    <row r="21" spans="1:3" ht="16.5" thickBot="1" x14ac:dyDescent="0.3">
      <c r="A21" s="252" t="s">
        <v>19</v>
      </c>
      <c r="B21" s="253"/>
      <c r="C21" s="46">
        <v>1</v>
      </c>
    </row>
    <row r="22" spans="1:3" ht="16.5" thickBot="1" x14ac:dyDescent="0.3">
      <c r="A22" s="252" t="s">
        <v>20</v>
      </c>
      <c r="B22" s="253"/>
      <c r="C22" s="47">
        <f>C20</f>
        <v>0.69</v>
      </c>
    </row>
    <row r="23" spans="1:3" ht="16.5" thickBot="1" x14ac:dyDescent="0.3">
      <c r="A23" s="252" t="s">
        <v>21</v>
      </c>
      <c r="B23" s="253"/>
      <c r="C23" s="48">
        <v>2100</v>
      </c>
    </row>
    <row r="24" spans="1:3" ht="16.5" thickBot="1" x14ac:dyDescent="0.3">
      <c r="A24" s="252" t="s">
        <v>22</v>
      </c>
      <c r="B24" s="253"/>
      <c r="C24" s="47">
        <f>C23*C22</f>
        <v>1449</v>
      </c>
    </row>
  </sheetData>
  <mergeCells count="5">
    <mergeCell ref="B3:C3"/>
    <mergeCell ref="A21:B21"/>
    <mergeCell ref="A22:B22"/>
    <mergeCell ref="A23:B23"/>
    <mergeCell ref="A24:B24"/>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AE25-7893-41CF-A992-96AA77392CDC}">
  <sheetPr>
    <tabColor theme="9" tint="0.79998168889431442"/>
  </sheetPr>
  <dimension ref="A1:C24"/>
  <sheetViews>
    <sheetView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119</v>
      </c>
      <c r="C2" s="30"/>
    </row>
    <row r="3" spans="1:3" ht="15.75" x14ac:dyDescent="0.25">
      <c r="A3" s="31"/>
      <c r="B3" s="29" t="s">
        <v>124</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79.5" thickBot="1" x14ac:dyDescent="0.3">
      <c r="A10" s="33">
        <v>1100</v>
      </c>
      <c r="B10" s="94" t="s">
        <v>125</v>
      </c>
      <c r="C10" s="36">
        <f>12.97*0.333</f>
        <v>4.3190100000000005</v>
      </c>
    </row>
    <row r="11" spans="1:3" ht="16.5" thickBot="1" x14ac:dyDescent="0.3">
      <c r="A11" s="34"/>
      <c r="B11" s="39" t="s">
        <v>8</v>
      </c>
      <c r="C11" s="92">
        <f>SUM(C10:C10)</f>
        <v>4.3190100000000005</v>
      </c>
    </row>
    <row r="12" spans="1:3" ht="16.5" thickBot="1" x14ac:dyDescent="0.3">
      <c r="A12" s="34"/>
      <c r="B12" s="33" t="s">
        <v>9</v>
      </c>
      <c r="C12" s="36" t="s">
        <v>4</v>
      </c>
    </row>
    <row r="13" spans="1:3" ht="16.5" thickBot="1" x14ac:dyDescent="0.3">
      <c r="A13" s="33">
        <v>1100</v>
      </c>
      <c r="B13" s="40" t="s">
        <v>30</v>
      </c>
      <c r="C13" s="36">
        <v>0.06</v>
      </c>
    </row>
    <row r="14" spans="1:3" ht="16.5" thickBot="1" x14ac:dyDescent="0.3">
      <c r="A14" s="93">
        <v>2210</v>
      </c>
      <c r="B14" s="62" t="s">
        <v>11</v>
      </c>
      <c r="C14" s="36">
        <v>0.02</v>
      </c>
    </row>
    <row r="15" spans="1:3" ht="16.5" thickBot="1" x14ac:dyDescent="0.3">
      <c r="A15" s="38">
        <v>2220</v>
      </c>
      <c r="B15" s="40" t="s">
        <v>12</v>
      </c>
      <c r="C15" s="36">
        <v>7.0000000000000007E-2</v>
      </c>
    </row>
    <row r="16" spans="1:3" ht="16.5" thickBot="1" x14ac:dyDescent="0.3">
      <c r="A16" s="38">
        <v>2240</v>
      </c>
      <c r="B16" s="40" t="s">
        <v>56</v>
      </c>
      <c r="C16" s="36">
        <v>0.19</v>
      </c>
    </row>
    <row r="17" spans="1:3" ht="16.5" thickBot="1" x14ac:dyDescent="0.3">
      <c r="A17" s="38">
        <v>2310</v>
      </c>
      <c r="B17" s="40" t="s">
        <v>15</v>
      </c>
      <c r="C17" s="36">
        <v>0.04</v>
      </c>
    </row>
    <row r="18" spans="1:3" ht="16.5" thickBot="1" x14ac:dyDescent="0.3">
      <c r="A18" s="38">
        <v>5200</v>
      </c>
      <c r="B18" s="44" t="s">
        <v>16</v>
      </c>
      <c r="C18" s="36">
        <v>0.05</v>
      </c>
    </row>
    <row r="19" spans="1:3" ht="16.5" thickBot="1" x14ac:dyDescent="0.3">
      <c r="A19" s="34"/>
      <c r="B19" s="39" t="s">
        <v>17</v>
      </c>
      <c r="C19" s="36">
        <f>SUM(C13:C18)</f>
        <v>0.43</v>
      </c>
    </row>
    <row r="20" spans="1:3" ht="16.5" thickBot="1" x14ac:dyDescent="0.3">
      <c r="A20" s="56"/>
      <c r="B20" s="63" t="s">
        <v>18</v>
      </c>
      <c r="C20" s="60">
        <f>ROUND((SUM(C11,C19)),2)</f>
        <v>4.75</v>
      </c>
    </row>
    <row r="21" spans="1:3" ht="16.5" thickBot="1" x14ac:dyDescent="0.3">
      <c r="A21" s="252" t="s">
        <v>19</v>
      </c>
      <c r="B21" s="253"/>
      <c r="C21" s="89">
        <v>1</v>
      </c>
    </row>
    <row r="22" spans="1:3" ht="16.5" thickBot="1" x14ac:dyDescent="0.3">
      <c r="A22" s="252" t="s">
        <v>20</v>
      </c>
      <c r="B22" s="253"/>
      <c r="C22" s="47">
        <f>C20</f>
        <v>4.75</v>
      </c>
    </row>
    <row r="23" spans="1:3" ht="16.5" thickBot="1" x14ac:dyDescent="0.3">
      <c r="A23" s="252" t="s">
        <v>21</v>
      </c>
      <c r="B23" s="253"/>
      <c r="C23" s="48">
        <v>700</v>
      </c>
    </row>
    <row r="24" spans="1:3" ht="16.5" thickBot="1" x14ac:dyDescent="0.3">
      <c r="A24" s="252" t="s">
        <v>22</v>
      </c>
      <c r="B24" s="253"/>
      <c r="C24" s="47">
        <f>C23*C22</f>
        <v>3325</v>
      </c>
    </row>
  </sheetData>
  <mergeCells count="4">
    <mergeCell ref="A21:B21"/>
    <mergeCell ref="A22:B22"/>
    <mergeCell ref="A23:B23"/>
    <mergeCell ref="A24:B24"/>
  </mergeCell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1FE3-4805-4EBE-A47D-D47FDAF4451F}">
  <sheetPr>
    <tabColor theme="9" tint="0.79998168889431442"/>
  </sheetPr>
  <dimension ref="A1:C29"/>
  <sheetViews>
    <sheetView topLeftCell="A8"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126</v>
      </c>
      <c r="C2" s="29"/>
    </row>
    <row r="3" spans="1:3" ht="15.75" x14ac:dyDescent="0.25">
      <c r="A3" s="31"/>
      <c r="B3" s="252" t="s">
        <v>127</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70"/>
      <c r="B10" s="49" t="s">
        <v>128</v>
      </c>
      <c r="C10" s="67"/>
    </row>
    <row r="11" spans="1:3" ht="79.5" thickBot="1" x14ac:dyDescent="0.3">
      <c r="A11" s="33">
        <v>1100</v>
      </c>
      <c r="B11" s="66" t="s">
        <v>129</v>
      </c>
      <c r="C11" s="95">
        <f>12.97*1*110/1058</f>
        <v>1.3484877126654065</v>
      </c>
    </row>
    <row r="12" spans="1:3" ht="79.5" thickBot="1" x14ac:dyDescent="0.3">
      <c r="A12" s="33">
        <v>1100</v>
      </c>
      <c r="B12" s="66" t="s">
        <v>130</v>
      </c>
      <c r="C12" s="95">
        <v>0.34</v>
      </c>
    </row>
    <row r="13" spans="1:3" ht="16.5" thickBot="1" x14ac:dyDescent="0.3">
      <c r="A13" s="38">
        <v>5120</v>
      </c>
      <c r="B13" s="35" t="s">
        <v>131</v>
      </c>
      <c r="C13" s="95">
        <v>0.61</v>
      </c>
    </row>
    <row r="14" spans="1:3" ht="16.5" thickBot="1" x14ac:dyDescent="0.3">
      <c r="A14" s="96"/>
      <c r="B14" s="97" t="s">
        <v>132</v>
      </c>
      <c r="C14" s="95"/>
    </row>
    <row r="15" spans="1:3" ht="79.5" thickBot="1" x14ac:dyDescent="0.3">
      <c r="A15" s="33">
        <v>1100</v>
      </c>
      <c r="B15" s="66" t="s">
        <v>133</v>
      </c>
      <c r="C15" s="95">
        <f>12.97*0.25*110/1058</f>
        <v>0.33712192816635161</v>
      </c>
    </row>
    <row r="16" spans="1:3" ht="16.5" thickBot="1" x14ac:dyDescent="0.3">
      <c r="A16" s="96"/>
      <c r="B16" s="98" t="s">
        <v>8</v>
      </c>
      <c r="C16" s="54">
        <f>SUM(C11:C15)</f>
        <v>2.635609640831758</v>
      </c>
    </row>
    <row r="17" spans="1:3" ht="16.5" thickBot="1" x14ac:dyDescent="0.3">
      <c r="A17" s="96"/>
      <c r="B17" s="99" t="s">
        <v>9</v>
      </c>
      <c r="C17" s="95" t="s">
        <v>4</v>
      </c>
    </row>
    <row r="18" spans="1:3" ht="16.5" thickBot="1" x14ac:dyDescent="0.3">
      <c r="A18" s="33">
        <v>1100</v>
      </c>
      <c r="B18" s="40" t="s">
        <v>30</v>
      </c>
      <c r="C18" s="95">
        <v>0.03</v>
      </c>
    </row>
    <row r="19" spans="1:3" ht="16.5" thickBot="1" x14ac:dyDescent="0.3">
      <c r="A19" s="93">
        <v>2210</v>
      </c>
      <c r="B19" s="62" t="s">
        <v>11</v>
      </c>
      <c r="C19" s="95">
        <v>0.01</v>
      </c>
    </row>
    <row r="20" spans="1:3" ht="16.5" thickBot="1" x14ac:dyDescent="0.3">
      <c r="A20" s="38">
        <v>2220</v>
      </c>
      <c r="B20" s="40" t="s">
        <v>12</v>
      </c>
      <c r="C20" s="95">
        <v>0.04</v>
      </c>
    </row>
    <row r="21" spans="1:3" ht="16.5" thickBot="1" x14ac:dyDescent="0.3">
      <c r="A21" s="38">
        <v>2240</v>
      </c>
      <c r="B21" s="40" t="s">
        <v>56</v>
      </c>
      <c r="C21" s="95">
        <v>0.12</v>
      </c>
    </row>
    <row r="22" spans="1:3" ht="16.5" thickBot="1" x14ac:dyDescent="0.3">
      <c r="A22" s="38">
        <v>2310</v>
      </c>
      <c r="B22" s="40" t="s">
        <v>15</v>
      </c>
      <c r="C22" s="95">
        <v>0.02</v>
      </c>
    </row>
    <row r="23" spans="1:3" ht="16.5" thickBot="1" x14ac:dyDescent="0.3">
      <c r="A23" s="38">
        <v>5200</v>
      </c>
      <c r="B23" s="44" t="s">
        <v>16</v>
      </c>
      <c r="C23" s="95">
        <v>0.03</v>
      </c>
    </row>
    <row r="24" spans="1:3" ht="16.5" thickBot="1" x14ac:dyDescent="0.3">
      <c r="A24" s="96"/>
      <c r="B24" s="98" t="s">
        <v>17</v>
      </c>
      <c r="C24" s="95">
        <f>SUM(C18:C23)</f>
        <v>0.25</v>
      </c>
    </row>
    <row r="25" spans="1:3" ht="16.5" thickBot="1" x14ac:dyDescent="0.3">
      <c r="A25" s="99"/>
      <c r="B25" s="100" t="s">
        <v>18</v>
      </c>
      <c r="C25" s="95">
        <f>ROUND((SUM(C16,C24)),2)</f>
        <v>2.89</v>
      </c>
    </row>
    <row r="26" spans="1:3" ht="16.5" thickBot="1" x14ac:dyDescent="0.3">
      <c r="A26" s="252" t="s">
        <v>19</v>
      </c>
      <c r="B26" s="253"/>
      <c r="C26" s="46">
        <v>1</v>
      </c>
    </row>
    <row r="27" spans="1:3" ht="16.5" thickBot="1" x14ac:dyDescent="0.3">
      <c r="A27" s="252" t="s">
        <v>20</v>
      </c>
      <c r="B27" s="253"/>
      <c r="C27" s="47">
        <f>C25</f>
        <v>2.89</v>
      </c>
    </row>
    <row r="28" spans="1:3" ht="16.5" thickBot="1" x14ac:dyDescent="0.3">
      <c r="A28" s="252" t="s">
        <v>21</v>
      </c>
      <c r="B28" s="253"/>
      <c r="C28" s="48">
        <v>595</v>
      </c>
    </row>
    <row r="29" spans="1:3" ht="16.5" thickBot="1" x14ac:dyDescent="0.3">
      <c r="A29" s="252" t="s">
        <v>22</v>
      </c>
      <c r="B29" s="253"/>
      <c r="C29" s="47">
        <f>C28*C27</f>
        <v>1719.5500000000002</v>
      </c>
    </row>
  </sheetData>
  <mergeCells count="5">
    <mergeCell ref="B3:C3"/>
    <mergeCell ref="A26:B26"/>
    <mergeCell ref="A27:B27"/>
    <mergeCell ref="A28:B28"/>
    <mergeCell ref="A29:B29"/>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67D6-65C2-4609-BBDF-D9157C904CC9}">
  <sheetPr>
    <tabColor theme="9" tint="0.79998168889431442"/>
  </sheetPr>
  <dimension ref="A1:C29"/>
  <sheetViews>
    <sheetView topLeftCell="A12"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126</v>
      </c>
      <c r="C2" s="29"/>
    </row>
    <row r="3" spans="1:3" ht="15.75" x14ac:dyDescent="0.25">
      <c r="A3" s="31"/>
      <c r="B3" s="252" t="s">
        <v>134</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5" t="s">
        <v>128</v>
      </c>
      <c r="C10" s="33"/>
    </row>
    <row r="11" spans="1:3" ht="79.5" thickBot="1" x14ac:dyDescent="0.3">
      <c r="A11" s="33">
        <v>1100</v>
      </c>
      <c r="B11" s="66" t="s">
        <v>135</v>
      </c>
      <c r="C11" s="36">
        <f>12.97*1*246/38287</f>
        <v>8.3334291012615261E-2</v>
      </c>
    </row>
    <row r="12" spans="1:3" ht="79.5" thickBot="1" x14ac:dyDescent="0.3">
      <c r="A12" s="33">
        <v>1100</v>
      </c>
      <c r="B12" s="66" t="s">
        <v>136</v>
      </c>
      <c r="C12" s="36">
        <v>0.02</v>
      </c>
    </row>
    <row r="13" spans="1:3" ht="16.5" thickBot="1" x14ac:dyDescent="0.3">
      <c r="A13" s="38">
        <v>5120</v>
      </c>
      <c r="B13" s="35" t="s">
        <v>131</v>
      </c>
      <c r="C13" s="33">
        <v>0.61</v>
      </c>
    </row>
    <row r="14" spans="1:3" ht="16.5" thickBot="1" x14ac:dyDescent="0.3">
      <c r="A14" s="34"/>
      <c r="B14" s="35" t="s">
        <v>132</v>
      </c>
      <c r="C14" s="33"/>
    </row>
    <row r="15" spans="1:3" ht="79.5" thickBot="1" x14ac:dyDescent="0.3">
      <c r="A15" s="33">
        <v>1100</v>
      </c>
      <c r="B15" s="66" t="s">
        <v>137</v>
      </c>
      <c r="C15" s="36">
        <f>12.97*0.25*246/38287</f>
        <v>2.0833572753153815E-2</v>
      </c>
    </row>
    <row r="16" spans="1:3" ht="16.5" thickBot="1" x14ac:dyDescent="0.3">
      <c r="A16" s="34"/>
      <c r="B16" s="39" t="s">
        <v>8</v>
      </c>
      <c r="C16" s="92">
        <f>SUM(C11:C15)</f>
        <v>0.73416786376576904</v>
      </c>
    </row>
    <row r="17" spans="1:3" ht="16.5" thickBot="1" x14ac:dyDescent="0.3">
      <c r="A17" s="34"/>
      <c r="B17" s="33" t="s">
        <v>9</v>
      </c>
      <c r="C17" s="33" t="s">
        <v>4</v>
      </c>
    </row>
    <row r="18" spans="1:3" ht="16.5" thickBot="1" x14ac:dyDescent="0.3">
      <c r="A18" s="33">
        <v>1100</v>
      </c>
      <c r="B18" s="40" t="s">
        <v>30</v>
      </c>
      <c r="C18" s="33">
        <v>0.01</v>
      </c>
    </row>
    <row r="19" spans="1:3" ht="16.5" thickBot="1" x14ac:dyDescent="0.3">
      <c r="A19" s="93">
        <v>2210</v>
      </c>
      <c r="B19" s="62" t="s">
        <v>11</v>
      </c>
      <c r="C19" s="33"/>
    </row>
    <row r="20" spans="1:3" ht="16.5" thickBot="1" x14ac:dyDescent="0.3">
      <c r="A20" s="38">
        <v>2220</v>
      </c>
      <c r="B20" s="40" t="s">
        <v>12</v>
      </c>
      <c r="C20" s="33">
        <v>0.01</v>
      </c>
    </row>
    <row r="21" spans="1:3" ht="16.5" thickBot="1" x14ac:dyDescent="0.3">
      <c r="A21" s="38">
        <v>2240</v>
      </c>
      <c r="B21" s="40" t="s">
        <v>56</v>
      </c>
      <c r="C21" s="33">
        <v>0.03</v>
      </c>
    </row>
    <row r="22" spans="1:3" ht="16.5" thickBot="1" x14ac:dyDescent="0.3">
      <c r="A22" s="38">
        <v>2310</v>
      </c>
      <c r="B22" s="40" t="s">
        <v>15</v>
      </c>
      <c r="C22" s="33">
        <v>0.01</v>
      </c>
    </row>
    <row r="23" spans="1:3" ht="16.5" thickBot="1" x14ac:dyDescent="0.3">
      <c r="A23" s="38">
        <v>5200</v>
      </c>
      <c r="B23" s="44" t="s">
        <v>16</v>
      </c>
      <c r="C23" s="33">
        <v>0.01</v>
      </c>
    </row>
    <row r="24" spans="1:3" ht="16.5" thickBot="1" x14ac:dyDescent="0.3">
      <c r="A24" s="34"/>
      <c r="B24" s="39" t="s">
        <v>17</v>
      </c>
      <c r="C24" s="36">
        <f>SUM(C18:C23)</f>
        <v>7.0000000000000007E-2</v>
      </c>
    </row>
    <row r="25" spans="1:3" ht="16.5" thickBot="1" x14ac:dyDescent="0.3">
      <c r="A25" s="56"/>
      <c r="B25" s="63" t="s">
        <v>18</v>
      </c>
      <c r="C25" s="60">
        <f>ROUND((SUM(C16,C24)),2)</f>
        <v>0.8</v>
      </c>
    </row>
    <row r="26" spans="1:3" ht="16.5" thickBot="1" x14ac:dyDescent="0.3">
      <c r="A26" s="252" t="s">
        <v>19</v>
      </c>
      <c r="B26" s="253"/>
      <c r="C26" s="46">
        <v>1</v>
      </c>
    </row>
    <row r="27" spans="1:3" ht="16.5" thickBot="1" x14ac:dyDescent="0.3">
      <c r="A27" s="252" t="s">
        <v>20</v>
      </c>
      <c r="B27" s="253"/>
      <c r="C27" s="47">
        <f>C25</f>
        <v>0.8</v>
      </c>
    </row>
    <row r="28" spans="1:3" ht="16.5" thickBot="1" x14ac:dyDescent="0.3">
      <c r="A28" s="252" t="s">
        <v>21</v>
      </c>
      <c r="B28" s="253"/>
      <c r="C28" s="48">
        <v>36050</v>
      </c>
    </row>
    <row r="29" spans="1:3" ht="16.5" thickBot="1" x14ac:dyDescent="0.3">
      <c r="A29" s="252" t="s">
        <v>22</v>
      </c>
      <c r="B29" s="253"/>
      <c r="C29" s="47">
        <f>C28*C27</f>
        <v>28840</v>
      </c>
    </row>
  </sheetData>
  <mergeCells count="5">
    <mergeCell ref="B3:C3"/>
    <mergeCell ref="A26:B26"/>
    <mergeCell ref="A27:B27"/>
    <mergeCell ref="A28:B28"/>
    <mergeCell ref="A29:B29"/>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15EE-5393-42F3-A2D5-8D8CAE65B0F7}">
  <sheetPr>
    <tabColor theme="9" tint="0.79998168889431442"/>
  </sheetPr>
  <dimension ref="A1:C26"/>
  <sheetViews>
    <sheetView topLeftCell="A7"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126</v>
      </c>
      <c r="C2" s="29"/>
    </row>
    <row r="3" spans="1:3" ht="15.75" x14ac:dyDescent="0.25">
      <c r="A3" s="31"/>
      <c r="B3" s="252" t="s">
        <v>138</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139</v>
      </c>
      <c r="C10" s="36">
        <f>12.97*0.75</f>
        <v>9.7275000000000009</v>
      </c>
    </row>
    <row r="11" spans="1:3" ht="79.5" thickBot="1" x14ac:dyDescent="0.3">
      <c r="A11" s="33">
        <v>1100</v>
      </c>
      <c r="B11" s="37" t="s">
        <v>140</v>
      </c>
      <c r="C11" s="36">
        <f>12.97*0.2</f>
        <v>2.5940000000000003</v>
      </c>
    </row>
    <row r="12" spans="1:3" ht="16.5" thickBot="1" x14ac:dyDescent="0.3">
      <c r="A12" s="38">
        <v>5120</v>
      </c>
      <c r="B12" s="35" t="s">
        <v>131</v>
      </c>
      <c r="C12" s="33">
        <v>0.61</v>
      </c>
    </row>
    <row r="13" spans="1:3" ht="16.5" thickBot="1" x14ac:dyDescent="0.3">
      <c r="A13" s="34"/>
      <c r="B13" s="39" t="s">
        <v>8</v>
      </c>
      <c r="C13" s="92">
        <f>SUM(C10:C12)</f>
        <v>12.9315</v>
      </c>
    </row>
    <row r="14" spans="1:3" ht="16.5" thickBot="1" x14ac:dyDescent="0.3">
      <c r="A14" s="34"/>
      <c r="B14" s="33" t="s">
        <v>9</v>
      </c>
      <c r="C14" s="36" t="s">
        <v>4</v>
      </c>
    </row>
    <row r="15" spans="1:3" ht="16.5" thickBot="1" x14ac:dyDescent="0.3">
      <c r="A15" s="33">
        <v>1100</v>
      </c>
      <c r="B15" s="40" t="s">
        <v>30</v>
      </c>
      <c r="C15" s="36">
        <v>0.17</v>
      </c>
    </row>
    <row r="16" spans="1:3" ht="16.5" thickBot="1" x14ac:dyDescent="0.3">
      <c r="A16" s="93">
        <v>2210</v>
      </c>
      <c r="B16" s="62" t="s">
        <v>11</v>
      </c>
      <c r="C16" s="36">
        <v>0.06</v>
      </c>
    </row>
    <row r="17" spans="1:3" ht="16.5" thickBot="1" x14ac:dyDescent="0.3">
      <c r="A17" s="38">
        <v>2220</v>
      </c>
      <c r="B17" s="40" t="s">
        <v>12</v>
      </c>
      <c r="C17" s="36">
        <v>0.22</v>
      </c>
    </row>
    <row r="18" spans="1:3" ht="16.5" thickBot="1" x14ac:dyDescent="0.3">
      <c r="A18" s="38">
        <v>2240</v>
      </c>
      <c r="B18" s="40" t="s">
        <v>56</v>
      </c>
      <c r="C18" s="36">
        <v>0.57999999999999996</v>
      </c>
    </row>
    <row r="19" spans="1:3" ht="16.5" thickBot="1" x14ac:dyDescent="0.3">
      <c r="A19" s="38">
        <v>2310</v>
      </c>
      <c r="B19" s="40" t="s">
        <v>15</v>
      </c>
      <c r="C19" s="36">
        <v>0.11</v>
      </c>
    </row>
    <row r="20" spans="1:3" ht="16.5" thickBot="1" x14ac:dyDescent="0.3">
      <c r="A20" s="38">
        <v>5200</v>
      </c>
      <c r="B20" s="44" t="s">
        <v>16</v>
      </c>
      <c r="C20" s="36">
        <v>0.16</v>
      </c>
    </row>
    <row r="21" spans="1:3" ht="16.5" thickBot="1" x14ac:dyDescent="0.3">
      <c r="A21" s="34"/>
      <c r="B21" s="39" t="s">
        <v>17</v>
      </c>
      <c r="C21" s="36">
        <f>SUM(C15:C20)</f>
        <v>1.3</v>
      </c>
    </row>
    <row r="22" spans="1:3" ht="16.5" thickBot="1" x14ac:dyDescent="0.3">
      <c r="A22" s="33"/>
      <c r="B22" s="45" t="s">
        <v>18</v>
      </c>
      <c r="C22" s="36">
        <f>ROUND((SUM(C13,C21)),2)</f>
        <v>14.23</v>
      </c>
    </row>
    <row r="23" spans="1:3" ht="16.5" thickBot="1" x14ac:dyDescent="0.3">
      <c r="A23" s="252" t="s">
        <v>19</v>
      </c>
      <c r="B23" s="253"/>
      <c r="C23" s="89">
        <v>1</v>
      </c>
    </row>
    <row r="24" spans="1:3" ht="16.5" thickBot="1" x14ac:dyDescent="0.3">
      <c r="A24" s="252" t="s">
        <v>20</v>
      </c>
      <c r="B24" s="253"/>
      <c r="C24" s="47">
        <f>C22</f>
        <v>14.23</v>
      </c>
    </row>
    <row r="25" spans="1:3" ht="16.5" thickBot="1" x14ac:dyDescent="0.3">
      <c r="A25" s="252" t="s">
        <v>21</v>
      </c>
      <c r="B25" s="253"/>
      <c r="C25" s="88">
        <v>28</v>
      </c>
    </row>
    <row r="26" spans="1:3" ht="16.5" thickBot="1" x14ac:dyDescent="0.3">
      <c r="A26" s="252" t="s">
        <v>22</v>
      </c>
      <c r="B26" s="253"/>
      <c r="C26" s="47">
        <f>C25*C24</f>
        <v>398.44</v>
      </c>
    </row>
  </sheetData>
  <mergeCells count="5">
    <mergeCell ref="B3:C3"/>
    <mergeCell ref="A23:B23"/>
    <mergeCell ref="A24:B24"/>
    <mergeCell ref="A25:B25"/>
    <mergeCell ref="A26:B26"/>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1A47-646E-4798-820A-867FAB632EB3}">
  <sheetPr>
    <tabColor theme="9" tint="0.79998168889431442"/>
  </sheetPr>
  <dimension ref="A1:C24"/>
  <sheetViews>
    <sheetView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141</v>
      </c>
      <c r="C2" s="30"/>
    </row>
    <row r="3" spans="1:3" ht="15.75" x14ac:dyDescent="0.25">
      <c r="A3" s="31" t="s">
        <v>71</v>
      </c>
      <c r="B3" s="29" t="s">
        <v>72</v>
      </c>
      <c r="C3" s="30"/>
    </row>
    <row r="4" spans="1:3" ht="15.75" x14ac:dyDescent="0.25">
      <c r="A4" s="29"/>
      <c r="B4" s="29"/>
      <c r="C4" s="30"/>
    </row>
    <row r="5" spans="1:3" ht="16.5" thickBot="1" x14ac:dyDescent="0.3">
      <c r="A5" s="29"/>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79.5" thickBot="1" x14ac:dyDescent="0.3">
      <c r="A9" s="33">
        <v>1100</v>
      </c>
      <c r="B9" s="37" t="s">
        <v>142</v>
      </c>
      <c r="C9" s="33">
        <f>ROUND((12.97*0.5),2)</f>
        <v>6.49</v>
      </c>
    </row>
    <row r="10" spans="1:3" ht="16.5" thickBot="1" x14ac:dyDescent="0.3">
      <c r="A10" s="33">
        <v>2310</v>
      </c>
      <c r="B10" s="35" t="s">
        <v>143</v>
      </c>
      <c r="C10" s="33">
        <v>10.53</v>
      </c>
    </row>
    <row r="11" spans="1:3" ht="16.5" thickBot="1" x14ac:dyDescent="0.3">
      <c r="A11" s="34"/>
      <c r="B11" s="39" t="s">
        <v>8</v>
      </c>
      <c r="C11" s="43">
        <f>SUM(C9:C10)</f>
        <v>17.02</v>
      </c>
    </row>
    <row r="12" spans="1:3" ht="16.5" thickBot="1" x14ac:dyDescent="0.3">
      <c r="A12" s="34"/>
      <c r="B12" s="33" t="s">
        <v>9</v>
      </c>
      <c r="C12" s="33" t="s">
        <v>4</v>
      </c>
    </row>
    <row r="13" spans="1:3" ht="16.5" thickBot="1" x14ac:dyDescent="0.3">
      <c r="A13" s="33">
        <v>1100</v>
      </c>
      <c r="B13" s="40" t="s">
        <v>30</v>
      </c>
      <c r="C13" s="33">
        <v>0.22</v>
      </c>
    </row>
    <row r="14" spans="1:3" ht="16.5" thickBot="1" x14ac:dyDescent="0.3">
      <c r="A14" s="93">
        <v>2210</v>
      </c>
      <c r="B14" s="62" t="s">
        <v>11</v>
      </c>
      <c r="C14" s="33">
        <v>7.0000000000000007E-2</v>
      </c>
    </row>
    <row r="15" spans="1:3" ht="16.5" thickBot="1" x14ac:dyDescent="0.3">
      <c r="A15" s="38">
        <v>2220</v>
      </c>
      <c r="B15" s="40" t="s">
        <v>12</v>
      </c>
      <c r="C15" s="33">
        <v>0.28999999999999998</v>
      </c>
    </row>
    <row r="16" spans="1:3" ht="16.5" thickBot="1" x14ac:dyDescent="0.3">
      <c r="A16" s="38">
        <v>2240</v>
      </c>
      <c r="B16" s="40" t="s">
        <v>56</v>
      </c>
      <c r="C16" s="33">
        <v>0.76</v>
      </c>
    </row>
    <row r="17" spans="1:3" ht="16.5" thickBot="1" x14ac:dyDescent="0.3">
      <c r="A17" s="38">
        <v>2310</v>
      </c>
      <c r="B17" s="40" t="s">
        <v>15</v>
      </c>
      <c r="C17" s="33">
        <v>0.14000000000000001</v>
      </c>
    </row>
    <row r="18" spans="1:3" ht="16.5" thickBot="1" x14ac:dyDescent="0.3">
      <c r="A18" s="38">
        <v>5200</v>
      </c>
      <c r="B18" s="44" t="s">
        <v>16</v>
      </c>
      <c r="C18" s="33">
        <v>0.21</v>
      </c>
    </row>
    <row r="19" spans="1:3" ht="16.5" thickBot="1" x14ac:dyDescent="0.3">
      <c r="A19" s="34"/>
      <c r="B19" s="39" t="s">
        <v>17</v>
      </c>
      <c r="C19" s="36">
        <f>SUM(C13:C18)</f>
        <v>1.69</v>
      </c>
    </row>
    <row r="20" spans="1:3" ht="16.5" thickBot="1" x14ac:dyDescent="0.3">
      <c r="A20" s="33"/>
      <c r="B20" s="45" t="s">
        <v>18</v>
      </c>
      <c r="C20" s="36">
        <f>ROUND((SUM(C11,C19)),2)</f>
        <v>18.71</v>
      </c>
    </row>
    <row r="21" spans="1:3" ht="16.5" thickBot="1" x14ac:dyDescent="0.3">
      <c r="A21" s="252" t="s">
        <v>19</v>
      </c>
      <c r="B21" s="253"/>
      <c r="C21" s="46">
        <v>1</v>
      </c>
    </row>
    <row r="22" spans="1:3" ht="16.5" thickBot="1" x14ac:dyDescent="0.3">
      <c r="A22" s="252" t="s">
        <v>20</v>
      </c>
      <c r="B22" s="253"/>
      <c r="C22" s="47">
        <f>C20</f>
        <v>18.71</v>
      </c>
    </row>
    <row r="23" spans="1:3" ht="16.5" thickBot="1" x14ac:dyDescent="0.3">
      <c r="A23" s="252" t="s">
        <v>21</v>
      </c>
      <c r="B23" s="253"/>
      <c r="C23" s="101">
        <v>7</v>
      </c>
    </row>
    <row r="24" spans="1:3" ht="16.5" thickBot="1" x14ac:dyDescent="0.3">
      <c r="A24" s="252" t="s">
        <v>22</v>
      </c>
      <c r="B24" s="253"/>
      <c r="C24" s="47">
        <f>C23*C22</f>
        <v>130.97</v>
      </c>
    </row>
  </sheetData>
  <mergeCells count="4">
    <mergeCell ref="A21:B21"/>
    <mergeCell ref="A22:B22"/>
    <mergeCell ref="A23:B23"/>
    <mergeCell ref="A24:B24"/>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0D6D-F0D5-4D94-952C-3F7E893C7A7A}">
  <sheetPr>
    <tabColor theme="9" tint="0.79998168889431442"/>
  </sheetPr>
  <dimension ref="A1:C30"/>
  <sheetViews>
    <sheetView topLeftCell="A10" zoomScale="85" zoomScaleNormal="85" workbookViewId="0">
      <selection activeCell="B2" sqref="B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144</v>
      </c>
      <c r="C2" s="30"/>
    </row>
    <row r="3" spans="1:3" ht="15.75" x14ac:dyDescent="0.25">
      <c r="A3" s="31"/>
      <c r="B3" s="49" t="s">
        <v>145</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146</v>
      </c>
      <c r="C10" s="36">
        <f>ROUND((19.58*3),2)</f>
        <v>58.74</v>
      </c>
    </row>
    <row r="11" spans="1:3" ht="79.5" thickBot="1" x14ac:dyDescent="0.3">
      <c r="A11" s="33">
        <v>1100</v>
      </c>
      <c r="B11" s="102" t="s">
        <v>147</v>
      </c>
      <c r="C11" s="36">
        <f>ROUND((19.58*2),2)</f>
        <v>39.159999999999997</v>
      </c>
    </row>
    <row r="12" spans="1:3" ht="79.5" thickBot="1" x14ac:dyDescent="0.3">
      <c r="A12" s="65">
        <v>1100</v>
      </c>
      <c r="B12" s="66" t="s">
        <v>148</v>
      </c>
      <c r="C12" s="103">
        <f>ROUND((19.58*3),2)</f>
        <v>58.74</v>
      </c>
    </row>
    <row r="13" spans="1:3" ht="79.5" thickBot="1" x14ac:dyDescent="0.3">
      <c r="A13" s="33">
        <v>1100</v>
      </c>
      <c r="B13" s="104" t="s">
        <v>149</v>
      </c>
      <c r="C13" s="36">
        <f>ROUND((24.37*0.167),2)</f>
        <v>4.07</v>
      </c>
    </row>
    <row r="14" spans="1:3" ht="16.5" thickBot="1" x14ac:dyDescent="0.3">
      <c r="A14" s="33">
        <v>2322</v>
      </c>
      <c r="B14" s="37" t="s">
        <v>29</v>
      </c>
      <c r="C14" s="36">
        <v>14.77</v>
      </c>
    </row>
    <row r="15" spans="1:3" ht="16.5" thickBot="1" x14ac:dyDescent="0.3">
      <c r="A15" s="38">
        <v>5120</v>
      </c>
      <c r="B15" s="35" t="s">
        <v>150</v>
      </c>
      <c r="C15" s="36">
        <v>50</v>
      </c>
    </row>
    <row r="16" spans="1:3" ht="16.5" thickBot="1" x14ac:dyDescent="0.3">
      <c r="A16" s="34"/>
      <c r="B16" s="39" t="s">
        <v>8</v>
      </c>
      <c r="C16" s="92">
        <f>SUM(C10:C15)</f>
        <v>225.48000000000002</v>
      </c>
    </row>
    <row r="17" spans="1:3" ht="16.5" thickBot="1" x14ac:dyDescent="0.3">
      <c r="A17" s="34"/>
      <c r="B17" s="33" t="s">
        <v>9</v>
      </c>
      <c r="C17" s="36" t="s">
        <v>4</v>
      </c>
    </row>
    <row r="18" spans="1:3" ht="16.5" thickBot="1" x14ac:dyDescent="0.3">
      <c r="A18" s="33">
        <v>1100</v>
      </c>
      <c r="B18" s="40" t="s">
        <v>30</v>
      </c>
      <c r="C18" s="36">
        <v>2.5</v>
      </c>
    </row>
    <row r="19" spans="1:3" ht="16.5" thickBot="1" x14ac:dyDescent="0.3">
      <c r="A19" s="93">
        <v>2210</v>
      </c>
      <c r="B19" s="62" t="s">
        <v>11</v>
      </c>
      <c r="C19" s="36">
        <v>0.83</v>
      </c>
    </row>
    <row r="20" spans="1:3" ht="16.5" thickBot="1" x14ac:dyDescent="0.3">
      <c r="A20" s="38">
        <v>2220</v>
      </c>
      <c r="B20" s="40" t="s">
        <v>12</v>
      </c>
      <c r="C20" s="36">
        <v>3.22</v>
      </c>
    </row>
    <row r="21" spans="1:3" ht="16.5" thickBot="1" x14ac:dyDescent="0.3">
      <c r="A21" s="38">
        <v>2240</v>
      </c>
      <c r="B21" s="40" t="s">
        <v>56</v>
      </c>
      <c r="C21" s="36">
        <v>8.56</v>
      </c>
    </row>
    <row r="22" spans="1:3" ht="16.5" thickBot="1" x14ac:dyDescent="0.3">
      <c r="A22" s="38">
        <v>2250</v>
      </c>
      <c r="B22" s="40" t="s">
        <v>14</v>
      </c>
      <c r="C22" s="36">
        <v>3.49</v>
      </c>
    </row>
    <row r="23" spans="1:3" ht="16.5" thickBot="1" x14ac:dyDescent="0.3">
      <c r="A23" s="38">
        <v>2310</v>
      </c>
      <c r="B23" s="40" t="s">
        <v>15</v>
      </c>
      <c r="C23" s="36">
        <v>1.58</v>
      </c>
    </row>
    <row r="24" spans="1:3" ht="16.5" thickBot="1" x14ac:dyDescent="0.3">
      <c r="A24" s="38">
        <v>5200</v>
      </c>
      <c r="B24" s="44" t="s">
        <v>16</v>
      </c>
      <c r="C24" s="36">
        <v>2.35</v>
      </c>
    </row>
    <row r="25" spans="1:3" ht="16.5" thickBot="1" x14ac:dyDescent="0.3">
      <c r="A25" s="34"/>
      <c r="B25" s="39" t="s">
        <v>17</v>
      </c>
      <c r="C25" s="36">
        <f>SUM(C18:C24)</f>
        <v>22.53</v>
      </c>
    </row>
    <row r="26" spans="1:3" ht="16.5" thickBot="1" x14ac:dyDescent="0.3">
      <c r="A26" s="33"/>
      <c r="B26" s="45" t="s">
        <v>18</v>
      </c>
      <c r="C26" s="36">
        <f>ROUND((SUM(C16,C25)),2)</f>
        <v>248.01</v>
      </c>
    </row>
    <row r="27" spans="1:3" ht="16.5" thickBot="1" x14ac:dyDescent="0.3">
      <c r="A27" s="252" t="s">
        <v>19</v>
      </c>
      <c r="B27" s="253"/>
      <c r="C27" s="89">
        <v>1</v>
      </c>
    </row>
    <row r="28" spans="1:3" ht="16.5" thickBot="1" x14ac:dyDescent="0.3">
      <c r="A28" s="252" t="s">
        <v>20</v>
      </c>
      <c r="B28" s="253"/>
      <c r="C28" s="47">
        <f>C26</f>
        <v>248.01</v>
      </c>
    </row>
    <row r="29" spans="1:3" ht="16.5" thickBot="1" x14ac:dyDescent="0.3">
      <c r="A29" s="252" t="s">
        <v>21</v>
      </c>
      <c r="B29" s="253"/>
      <c r="C29" s="88">
        <v>1</v>
      </c>
    </row>
    <row r="30" spans="1:3" ht="16.5" thickBot="1" x14ac:dyDescent="0.3">
      <c r="A30" s="252" t="s">
        <v>22</v>
      </c>
      <c r="B30" s="253"/>
      <c r="C30" s="47">
        <f>C29*C28</f>
        <v>248.01</v>
      </c>
    </row>
  </sheetData>
  <mergeCells count="4">
    <mergeCell ref="A27:B27"/>
    <mergeCell ref="A28:B28"/>
    <mergeCell ref="A29:B29"/>
    <mergeCell ref="A30:B30"/>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5BC86-6347-444A-9728-5782C8038FF4}">
  <sheetPr>
    <tabColor theme="9" tint="0.79998168889431442"/>
  </sheetPr>
  <dimension ref="A1:C32"/>
  <sheetViews>
    <sheetView topLeftCell="A11"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144</v>
      </c>
      <c r="C2" s="30"/>
    </row>
    <row r="3" spans="1:3" ht="15.75" x14ac:dyDescent="0.25">
      <c r="A3" s="31"/>
      <c r="B3" s="49" t="s">
        <v>151</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152</v>
      </c>
      <c r="C10" s="36">
        <f>12.97*2</f>
        <v>25.94</v>
      </c>
    </row>
    <row r="11" spans="1:3" ht="79.5" thickBot="1" x14ac:dyDescent="0.3">
      <c r="A11" s="33">
        <v>1100</v>
      </c>
      <c r="B11" s="37" t="s">
        <v>153</v>
      </c>
      <c r="C11" s="36">
        <f>ROUND((12.97*1.333),2)</f>
        <v>17.29</v>
      </c>
    </row>
    <row r="12" spans="1:3" ht="16.5" thickBot="1" x14ac:dyDescent="0.3">
      <c r="A12" s="33">
        <v>2322</v>
      </c>
      <c r="B12" s="37" t="s">
        <v>29</v>
      </c>
      <c r="C12" s="36">
        <v>11.36</v>
      </c>
    </row>
    <row r="13" spans="1:3" ht="79.5" thickBot="1" x14ac:dyDescent="0.3">
      <c r="A13" s="65">
        <v>1100</v>
      </c>
      <c r="B13" s="66" t="s">
        <v>154</v>
      </c>
      <c r="C13" s="103">
        <f>12.97*6</f>
        <v>77.820000000000007</v>
      </c>
    </row>
    <row r="14" spans="1:3" ht="16.5" thickBot="1" x14ac:dyDescent="0.3">
      <c r="A14" s="33">
        <v>2341</v>
      </c>
      <c r="B14" s="29" t="s">
        <v>155</v>
      </c>
      <c r="C14" s="105">
        <v>29.12</v>
      </c>
    </row>
    <row r="15" spans="1:3" ht="79.5" thickBot="1" x14ac:dyDescent="0.3">
      <c r="A15" s="106">
        <v>1100</v>
      </c>
      <c r="B15" s="107" t="s">
        <v>156</v>
      </c>
      <c r="C15" s="108">
        <f>ROUND((12.97*0.5),2)</f>
        <v>6.49</v>
      </c>
    </row>
    <row r="16" spans="1:3" ht="16.5" thickBot="1" x14ac:dyDescent="0.3">
      <c r="A16" s="99">
        <v>2230</v>
      </c>
      <c r="B16" s="66" t="s">
        <v>157</v>
      </c>
      <c r="C16" s="54">
        <v>5</v>
      </c>
    </row>
    <row r="17" spans="1:3" ht="79.5" thickBot="1" x14ac:dyDescent="0.3">
      <c r="A17" s="87">
        <v>1100</v>
      </c>
      <c r="B17" s="104" t="s">
        <v>158</v>
      </c>
      <c r="C17" s="56">
        <f>12.97*8</f>
        <v>103.76</v>
      </c>
    </row>
    <row r="18" spans="1:3" ht="16.5" thickBot="1" x14ac:dyDescent="0.3">
      <c r="A18" s="34"/>
      <c r="B18" s="39" t="s">
        <v>8</v>
      </c>
      <c r="C18" s="92">
        <f>SUM(C10:C17)</f>
        <v>276.78000000000003</v>
      </c>
    </row>
    <row r="19" spans="1:3" ht="16.5" thickBot="1" x14ac:dyDescent="0.3">
      <c r="A19" s="34"/>
      <c r="B19" s="33" t="s">
        <v>9</v>
      </c>
      <c r="C19" s="36" t="s">
        <v>4</v>
      </c>
    </row>
    <row r="20" spans="1:3" ht="16.5" thickBot="1" x14ac:dyDescent="0.3">
      <c r="A20" s="33">
        <v>1100</v>
      </c>
      <c r="B20" s="40" t="s">
        <v>30</v>
      </c>
      <c r="C20" s="36">
        <v>3.07</v>
      </c>
    </row>
    <row r="21" spans="1:3" ht="16.5" thickBot="1" x14ac:dyDescent="0.3">
      <c r="A21" s="93">
        <v>2210</v>
      </c>
      <c r="B21" s="62" t="s">
        <v>11</v>
      </c>
      <c r="C21" s="36">
        <v>1.02</v>
      </c>
    </row>
    <row r="22" spans="1:3" ht="16.5" thickBot="1" x14ac:dyDescent="0.3">
      <c r="A22" s="38">
        <v>2220</v>
      </c>
      <c r="B22" s="40" t="s">
        <v>12</v>
      </c>
      <c r="C22" s="36">
        <v>3.96</v>
      </c>
    </row>
    <row r="23" spans="1:3" ht="16.5" thickBot="1" x14ac:dyDescent="0.3">
      <c r="A23" s="38">
        <v>2240</v>
      </c>
      <c r="B23" s="40" t="s">
        <v>56</v>
      </c>
      <c r="C23" s="36">
        <v>10.51</v>
      </c>
    </row>
    <row r="24" spans="1:3" ht="16.5" thickBot="1" x14ac:dyDescent="0.3">
      <c r="A24" s="38">
        <v>2250</v>
      </c>
      <c r="B24" s="40" t="s">
        <v>14</v>
      </c>
      <c r="C24" s="36">
        <v>4.29</v>
      </c>
    </row>
    <row r="25" spans="1:3" ht="16.5" thickBot="1" x14ac:dyDescent="0.3">
      <c r="A25" s="38">
        <v>2310</v>
      </c>
      <c r="B25" s="40" t="s">
        <v>15</v>
      </c>
      <c r="C25" s="36">
        <v>1.94</v>
      </c>
    </row>
    <row r="26" spans="1:3" ht="16.5" thickBot="1" x14ac:dyDescent="0.3">
      <c r="A26" s="38">
        <v>5200</v>
      </c>
      <c r="B26" s="44" t="s">
        <v>16</v>
      </c>
      <c r="C26" s="36">
        <v>2.89</v>
      </c>
    </row>
    <row r="27" spans="1:3" ht="16.5" thickBot="1" x14ac:dyDescent="0.3">
      <c r="A27" s="34"/>
      <c r="B27" s="39" t="s">
        <v>17</v>
      </c>
      <c r="C27" s="36">
        <f>SUM(C20:C26)</f>
        <v>27.680000000000003</v>
      </c>
    </row>
    <row r="28" spans="1:3" ht="16.5" thickBot="1" x14ac:dyDescent="0.3">
      <c r="A28" s="33"/>
      <c r="B28" s="45" t="s">
        <v>18</v>
      </c>
      <c r="C28" s="36">
        <f>ROUND((SUM(C18,C27)),2)</f>
        <v>304.45999999999998</v>
      </c>
    </row>
    <row r="29" spans="1:3" ht="16.5" thickBot="1" x14ac:dyDescent="0.3">
      <c r="A29" s="252" t="s">
        <v>19</v>
      </c>
      <c r="B29" s="253"/>
      <c r="C29" s="89">
        <v>1</v>
      </c>
    </row>
    <row r="30" spans="1:3" ht="16.5" thickBot="1" x14ac:dyDescent="0.3">
      <c r="A30" s="252" t="s">
        <v>20</v>
      </c>
      <c r="B30" s="253"/>
      <c r="C30" s="47">
        <f>C28</f>
        <v>304.45999999999998</v>
      </c>
    </row>
    <row r="31" spans="1:3" ht="16.5" thickBot="1" x14ac:dyDescent="0.3">
      <c r="A31" s="252" t="s">
        <v>21</v>
      </c>
      <c r="B31" s="253"/>
      <c r="C31" s="88">
        <v>1</v>
      </c>
    </row>
    <row r="32" spans="1:3" ht="16.5" thickBot="1" x14ac:dyDescent="0.3">
      <c r="A32" s="252" t="s">
        <v>22</v>
      </c>
      <c r="B32" s="253"/>
      <c r="C32" s="47">
        <f>C31*C30</f>
        <v>304.45999999999998</v>
      </c>
    </row>
  </sheetData>
  <mergeCells count="4">
    <mergeCell ref="A29:B29"/>
    <mergeCell ref="A30:B30"/>
    <mergeCell ref="A31:B31"/>
    <mergeCell ref="A32:B32"/>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5CCB-D512-4FB2-9888-6AE62F6EF3A2}">
  <sheetPr>
    <tabColor theme="9" tint="0.79998168889431442"/>
  </sheetPr>
  <dimension ref="A1:C26"/>
  <sheetViews>
    <sheetView topLeftCell="A7"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159</v>
      </c>
      <c r="C2" s="30"/>
    </row>
    <row r="3" spans="1:3" ht="31.5" x14ac:dyDescent="0.25">
      <c r="A3" s="31"/>
      <c r="B3" s="49" t="s">
        <v>160</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161</v>
      </c>
      <c r="C10" s="36">
        <f>19.58*3</f>
        <v>58.739999999999995</v>
      </c>
    </row>
    <row r="11" spans="1:3" ht="79.5" thickBot="1" x14ac:dyDescent="0.3">
      <c r="A11" s="33">
        <v>1100</v>
      </c>
      <c r="B11" s="66" t="s">
        <v>149</v>
      </c>
      <c r="C11" s="103">
        <f>24.37*0.167</f>
        <v>4.0697900000000002</v>
      </c>
    </row>
    <row r="12" spans="1:3" ht="16.5" thickBot="1" x14ac:dyDescent="0.3">
      <c r="A12" s="34"/>
      <c r="B12" s="39" t="s">
        <v>8</v>
      </c>
      <c r="C12" s="92">
        <f>SUM(C10:C11)</f>
        <v>62.809789999999992</v>
      </c>
    </row>
    <row r="13" spans="1:3" ht="16.5" thickBot="1" x14ac:dyDescent="0.3">
      <c r="A13" s="34"/>
      <c r="B13" s="33" t="s">
        <v>9</v>
      </c>
      <c r="C13" s="36" t="s">
        <v>4</v>
      </c>
    </row>
    <row r="14" spans="1:3" ht="16.5" thickBot="1" x14ac:dyDescent="0.3">
      <c r="A14" s="33">
        <v>1100</v>
      </c>
      <c r="B14" s="40" t="s">
        <v>30</v>
      </c>
      <c r="C14" s="36">
        <v>0.7</v>
      </c>
    </row>
    <row r="15" spans="1:3" ht="16.5" thickBot="1" x14ac:dyDescent="0.3">
      <c r="A15" s="93">
        <v>2210</v>
      </c>
      <c r="B15" s="62" t="s">
        <v>11</v>
      </c>
      <c r="C15" s="36">
        <v>0.23</v>
      </c>
    </row>
    <row r="16" spans="1:3" ht="16.5" thickBot="1" x14ac:dyDescent="0.3">
      <c r="A16" s="38">
        <v>2220</v>
      </c>
      <c r="B16" s="40" t="s">
        <v>12</v>
      </c>
      <c r="C16" s="36">
        <v>0.9</v>
      </c>
    </row>
    <row r="17" spans="1:3" ht="16.5" thickBot="1" x14ac:dyDescent="0.3">
      <c r="A17" s="38">
        <v>2240</v>
      </c>
      <c r="B17" s="40" t="s">
        <v>56</v>
      </c>
      <c r="C17" s="36">
        <v>2.39</v>
      </c>
    </row>
    <row r="18" spans="1:3" ht="16.5" thickBot="1" x14ac:dyDescent="0.3">
      <c r="A18" s="38">
        <v>2250</v>
      </c>
      <c r="B18" s="40" t="s">
        <v>14</v>
      </c>
      <c r="C18" s="36">
        <v>0.97</v>
      </c>
    </row>
    <row r="19" spans="1:3" ht="16.5" thickBot="1" x14ac:dyDescent="0.3">
      <c r="A19" s="38">
        <v>2310</v>
      </c>
      <c r="B19" s="40" t="s">
        <v>15</v>
      </c>
      <c r="C19" s="36">
        <v>0.44</v>
      </c>
    </row>
    <row r="20" spans="1:3" ht="16.5" thickBot="1" x14ac:dyDescent="0.3">
      <c r="A20" s="38">
        <v>5200</v>
      </c>
      <c r="B20" s="44" t="s">
        <v>16</v>
      </c>
      <c r="C20" s="36">
        <v>0.66</v>
      </c>
    </row>
    <row r="21" spans="1:3" ht="16.5" thickBot="1" x14ac:dyDescent="0.3">
      <c r="A21" s="34"/>
      <c r="B21" s="39" t="s">
        <v>17</v>
      </c>
      <c r="C21" s="36">
        <f>SUM(C14:C20)</f>
        <v>6.2900000000000009</v>
      </c>
    </row>
    <row r="22" spans="1:3" ht="16.5" thickBot="1" x14ac:dyDescent="0.3">
      <c r="A22" s="33"/>
      <c r="B22" s="45" t="s">
        <v>18</v>
      </c>
      <c r="C22" s="36">
        <f>ROUND((SUM(C12,C21)),2)</f>
        <v>69.099999999999994</v>
      </c>
    </row>
    <row r="23" spans="1:3" ht="16.5" thickBot="1" x14ac:dyDescent="0.3">
      <c r="A23" s="252" t="s">
        <v>19</v>
      </c>
      <c r="B23" s="253"/>
      <c r="C23" s="89">
        <v>1</v>
      </c>
    </row>
    <row r="24" spans="1:3" ht="16.5" thickBot="1" x14ac:dyDescent="0.3">
      <c r="A24" s="252" t="s">
        <v>20</v>
      </c>
      <c r="B24" s="253"/>
      <c r="C24" s="47">
        <f>C22</f>
        <v>69.099999999999994</v>
      </c>
    </row>
    <row r="25" spans="1:3" ht="16.5" thickBot="1" x14ac:dyDescent="0.3">
      <c r="A25" s="252" t="s">
        <v>21</v>
      </c>
      <c r="B25" s="253"/>
      <c r="C25" s="88">
        <v>1</v>
      </c>
    </row>
    <row r="26" spans="1:3" ht="16.5" thickBot="1" x14ac:dyDescent="0.3">
      <c r="A26" s="252" t="s">
        <v>22</v>
      </c>
      <c r="B26" s="253"/>
      <c r="C26" s="47">
        <f>C25*C24</f>
        <v>69.099999999999994</v>
      </c>
    </row>
  </sheetData>
  <mergeCells count="4">
    <mergeCell ref="A23:B23"/>
    <mergeCell ref="A24:B24"/>
    <mergeCell ref="A25:B25"/>
    <mergeCell ref="A26:B26"/>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CB41D-844E-4836-9D36-C5DB41FF469D}">
  <sheetPr>
    <tabColor theme="9" tint="0.79998168889431442"/>
  </sheetPr>
  <dimension ref="A1:C27"/>
  <sheetViews>
    <sheetView topLeftCell="A7"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159</v>
      </c>
      <c r="C2" s="30"/>
    </row>
    <row r="3" spans="1:3" ht="31.5" x14ac:dyDescent="0.25">
      <c r="A3" s="31"/>
      <c r="B3" s="49" t="s">
        <v>162</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161</v>
      </c>
      <c r="C10" s="36">
        <f>19.58*3</f>
        <v>58.739999999999995</v>
      </c>
    </row>
    <row r="11" spans="1:3" ht="79.5" thickBot="1" x14ac:dyDescent="0.3">
      <c r="A11" s="65">
        <v>1100</v>
      </c>
      <c r="B11" s="66" t="s">
        <v>149</v>
      </c>
      <c r="C11" s="103">
        <f>24.37*0.167</f>
        <v>4.0697900000000002</v>
      </c>
    </row>
    <row r="12" spans="1:3" ht="16.5" thickBot="1" x14ac:dyDescent="0.3">
      <c r="A12" s="38">
        <v>5120</v>
      </c>
      <c r="B12" s="35" t="s">
        <v>150</v>
      </c>
      <c r="C12" s="36">
        <v>50</v>
      </c>
    </row>
    <row r="13" spans="1:3" ht="16.5" thickBot="1" x14ac:dyDescent="0.3">
      <c r="A13" s="34"/>
      <c r="B13" s="39" t="s">
        <v>8</v>
      </c>
      <c r="C13" s="92">
        <f>SUM(C10:C12)</f>
        <v>112.80978999999999</v>
      </c>
    </row>
    <row r="14" spans="1:3" ht="16.5" thickBot="1" x14ac:dyDescent="0.3">
      <c r="A14" s="34"/>
      <c r="B14" s="33" t="s">
        <v>9</v>
      </c>
      <c r="C14" s="36" t="s">
        <v>4</v>
      </c>
    </row>
    <row r="15" spans="1:3" ht="16.5" thickBot="1" x14ac:dyDescent="0.3">
      <c r="A15" s="33">
        <v>1100</v>
      </c>
      <c r="B15" s="40" t="s">
        <v>30</v>
      </c>
      <c r="C15" s="36">
        <v>1.25</v>
      </c>
    </row>
    <row r="16" spans="1:3" ht="16.5" thickBot="1" x14ac:dyDescent="0.3">
      <c r="A16" s="93">
        <v>2210</v>
      </c>
      <c r="B16" s="62" t="s">
        <v>11</v>
      </c>
      <c r="C16" s="36">
        <v>0.42</v>
      </c>
    </row>
    <row r="17" spans="1:3" ht="16.5" thickBot="1" x14ac:dyDescent="0.3">
      <c r="A17" s="38">
        <v>2220</v>
      </c>
      <c r="B17" s="40" t="s">
        <v>12</v>
      </c>
      <c r="C17" s="36">
        <v>1.61</v>
      </c>
    </row>
    <row r="18" spans="1:3" ht="16.5" thickBot="1" x14ac:dyDescent="0.3">
      <c r="A18" s="38">
        <v>2240</v>
      </c>
      <c r="B18" s="40" t="s">
        <v>56</v>
      </c>
      <c r="C18" s="36">
        <v>4.28</v>
      </c>
    </row>
    <row r="19" spans="1:3" ht="16.5" thickBot="1" x14ac:dyDescent="0.3">
      <c r="A19" s="38">
        <v>2250</v>
      </c>
      <c r="B19" s="40" t="s">
        <v>14</v>
      </c>
      <c r="C19" s="36">
        <v>1.75</v>
      </c>
    </row>
    <row r="20" spans="1:3" ht="16.5" thickBot="1" x14ac:dyDescent="0.3">
      <c r="A20" s="38">
        <v>2310</v>
      </c>
      <c r="B20" s="40" t="s">
        <v>15</v>
      </c>
      <c r="C20" s="36">
        <v>0.79</v>
      </c>
    </row>
    <row r="21" spans="1:3" ht="16.5" thickBot="1" x14ac:dyDescent="0.3">
      <c r="A21" s="38">
        <v>5200</v>
      </c>
      <c r="B21" s="44" t="s">
        <v>16</v>
      </c>
      <c r="C21" s="36">
        <v>1.18</v>
      </c>
    </row>
    <row r="22" spans="1:3" ht="16.5" thickBot="1" x14ac:dyDescent="0.3">
      <c r="A22" s="34"/>
      <c r="B22" s="39" t="s">
        <v>17</v>
      </c>
      <c r="C22" s="36">
        <f>SUM(C15:C21)</f>
        <v>11.280000000000001</v>
      </c>
    </row>
    <row r="23" spans="1:3" ht="16.5" thickBot="1" x14ac:dyDescent="0.3">
      <c r="A23" s="33"/>
      <c r="B23" s="45" t="s">
        <v>18</v>
      </c>
      <c r="C23" s="36">
        <f>ROUND((SUM(C13,C22)),2)</f>
        <v>124.09</v>
      </c>
    </row>
    <row r="24" spans="1:3" ht="16.5" thickBot="1" x14ac:dyDescent="0.3">
      <c r="A24" s="252" t="s">
        <v>19</v>
      </c>
      <c r="B24" s="253"/>
      <c r="C24" s="89">
        <v>1</v>
      </c>
    </row>
    <row r="25" spans="1:3" ht="16.5" thickBot="1" x14ac:dyDescent="0.3">
      <c r="A25" s="252" t="s">
        <v>20</v>
      </c>
      <c r="B25" s="253"/>
      <c r="C25" s="47">
        <f>C23</f>
        <v>124.09</v>
      </c>
    </row>
    <row r="26" spans="1:3" ht="16.5" thickBot="1" x14ac:dyDescent="0.3">
      <c r="A26" s="252" t="s">
        <v>21</v>
      </c>
      <c r="B26" s="253"/>
      <c r="C26" s="88">
        <v>1</v>
      </c>
    </row>
    <row r="27" spans="1:3" ht="16.5" thickBot="1" x14ac:dyDescent="0.3">
      <c r="A27" s="252" t="s">
        <v>22</v>
      </c>
      <c r="B27" s="253"/>
      <c r="C27" s="47">
        <f>C26*C25</f>
        <v>124.09</v>
      </c>
    </row>
  </sheetData>
  <mergeCells count="4">
    <mergeCell ref="A24:B24"/>
    <mergeCell ref="A25:B25"/>
    <mergeCell ref="A26:B26"/>
    <mergeCell ref="A27:B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4D344-83E5-40B3-A4A4-C662C85FBD8E}">
  <sheetPr>
    <tabColor theme="9" tint="0.79998168889431442"/>
  </sheetPr>
  <dimension ref="A1:C23"/>
  <sheetViews>
    <sheetView zoomScale="70" zoomScaleNormal="70" workbookViewId="0">
      <selection activeCell="A20" sqref="A20:B20"/>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235</v>
      </c>
      <c r="C2" s="252"/>
    </row>
    <row r="3" spans="1:3" ht="15.75" x14ac:dyDescent="0.25">
      <c r="A3" s="31" t="s">
        <v>71</v>
      </c>
      <c r="B3" s="29" t="s">
        <v>187</v>
      </c>
      <c r="C3" s="30"/>
    </row>
    <row r="4" spans="1:3" ht="15.75" x14ac:dyDescent="0.25">
      <c r="A4" s="29"/>
      <c r="B4" s="29"/>
      <c r="C4" s="30"/>
    </row>
    <row r="5" spans="1:3" ht="15.75" x14ac:dyDescent="0.25">
      <c r="A5" s="29"/>
      <c r="B5" s="29"/>
      <c r="C5" s="30"/>
    </row>
    <row r="6" spans="1:3" ht="63" x14ac:dyDescent="0.25">
      <c r="A6" s="112" t="s">
        <v>0</v>
      </c>
      <c r="B6" s="112" t="s">
        <v>1</v>
      </c>
      <c r="C6" s="112" t="s">
        <v>2</v>
      </c>
    </row>
    <row r="7" spans="1:3" ht="15.75" x14ac:dyDescent="0.25">
      <c r="A7" s="112">
        <v>1</v>
      </c>
      <c r="B7" s="112">
        <v>2</v>
      </c>
      <c r="C7" s="112">
        <v>3</v>
      </c>
    </row>
    <row r="8" spans="1:3" ht="15.75" x14ac:dyDescent="0.25">
      <c r="A8" s="113"/>
      <c r="B8" s="112" t="s">
        <v>3</v>
      </c>
      <c r="C8" s="112" t="s">
        <v>4</v>
      </c>
    </row>
    <row r="9" spans="1:3" ht="15.75" x14ac:dyDescent="0.25">
      <c r="A9" s="93">
        <v>2310</v>
      </c>
      <c r="B9" s="114" t="s">
        <v>236</v>
      </c>
      <c r="C9" s="112">
        <v>10.52</v>
      </c>
    </row>
    <row r="10" spans="1:3" ht="15.75" x14ac:dyDescent="0.25">
      <c r="A10" s="113"/>
      <c r="B10" s="118" t="s">
        <v>8</v>
      </c>
      <c r="C10" s="119">
        <f>SUM(C9:C9)</f>
        <v>10.52</v>
      </c>
    </row>
    <row r="11" spans="1:3" ht="15.75" x14ac:dyDescent="0.25">
      <c r="A11" s="113"/>
      <c r="B11" s="112" t="s">
        <v>9</v>
      </c>
      <c r="C11" s="112" t="s">
        <v>4</v>
      </c>
    </row>
    <row r="12" spans="1:3" ht="15.75" x14ac:dyDescent="0.25">
      <c r="A12" s="112">
        <v>1100</v>
      </c>
      <c r="B12" s="124" t="s">
        <v>10</v>
      </c>
      <c r="C12" s="115">
        <v>0.14000000000000001</v>
      </c>
    </row>
    <row r="13" spans="1:3" ht="15.75" x14ac:dyDescent="0.25">
      <c r="A13" s="125">
        <v>2210</v>
      </c>
      <c r="B13" s="126" t="s">
        <v>11</v>
      </c>
      <c r="C13" s="119">
        <v>0.05</v>
      </c>
    </row>
    <row r="14" spans="1:3" ht="15.75" x14ac:dyDescent="0.25">
      <c r="A14" s="125">
        <v>2220</v>
      </c>
      <c r="B14" s="126" t="s">
        <v>12</v>
      </c>
      <c r="C14" s="115">
        <v>0.19</v>
      </c>
    </row>
    <row r="15" spans="1:3" ht="15.75" x14ac:dyDescent="0.25">
      <c r="A15" s="125">
        <v>2240</v>
      </c>
      <c r="B15" s="126" t="s">
        <v>56</v>
      </c>
      <c r="C15" s="115">
        <v>0.49</v>
      </c>
    </row>
    <row r="16" spans="1:3" ht="15.75" x14ac:dyDescent="0.25">
      <c r="A16" s="125">
        <v>2310</v>
      </c>
      <c r="B16" s="126" t="s">
        <v>15</v>
      </c>
      <c r="C16" s="115">
        <v>0.09</v>
      </c>
    </row>
    <row r="17" spans="1:3" ht="15.75" x14ac:dyDescent="0.25">
      <c r="A17" s="120">
        <v>5200</v>
      </c>
      <c r="B17" s="127" t="s">
        <v>201</v>
      </c>
      <c r="C17" s="115">
        <v>0.09</v>
      </c>
    </row>
    <row r="18" spans="1:3" ht="15.75" x14ac:dyDescent="0.25">
      <c r="A18" s="113"/>
      <c r="B18" s="118" t="s">
        <v>17</v>
      </c>
      <c r="C18" s="115">
        <f>SUM(C12:C17)</f>
        <v>1.05</v>
      </c>
    </row>
    <row r="19" spans="1:3" ht="15.75" x14ac:dyDescent="0.25">
      <c r="A19" s="112"/>
      <c r="B19" s="128" t="s">
        <v>18</v>
      </c>
      <c r="C19" s="115">
        <f>ROUND((SUM(C10,C18)),2)</f>
        <v>11.57</v>
      </c>
    </row>
    <row r="20" spans="1:3" ht="15.75" x14ac:dyDescent="0.25">
      <c r="A20" s="258" t="s">
        <v>19</v>
      </c>
      <c r="B20" s="258"/>
      <c r="C20" s="120">
        <v>1</v>
      </c>
    </row>
    <row r="21" spans="1:3" ht="15.75" x14ac:dyDescent="0.25">
      <c r="A21" s="258" t="s">
        <v>20</v>
      </c>
      <c r="B21" s="258"/>
      <c r="C21" s="119">
        <f>C19</f>
        <v>11.57</v>
      </c>
    </row>
    <row r="22" spans="1:3" ht="15.75" x14ac:dyDescent="0.25">
      <c r="A22" s="258" t="s">
        <v>21</v>
      </c>
      <c r="B22" s="258"/>
      <c r="C22" s="120">
        <v>0</v>
      </c>
    </row>
    <row r="23" spans="1:3" ht="15.75" x14ac:dyDescent="0.25">
      <c r="A23" s="258" t="s">
        <v>22</v>
      </c>
      <c r="B23" s="258"/>
      <c r="C23" s="119">
        <f>C22*C21</f>
        <v>0</v>
      </c>
    </row>
  </sheetData>
  <mergeCells count="5">
    <mergeCell ref="B2:C2"/>
    <mergeCell ref="A20:B20"/>
    <mergeCell ref="A21:B21"/>
    <mergeCell ref="A22:B22"/>
    <mergeCell ref="A23:B23"/>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609C-430F-4E49-8939-D64E960E85C7}">
  <sheetPr>
    <tabColor theme="9" tint="0.79998168889431442"/>
  </sheetPr>
  <dimension ref="A1:C32"/>
  <sheetViews>
    <sheetView topLeftCell="A10"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163</v>
      </c>
      <c r="C2" s="30"/>
    </row>
    <row r="3" spans="1:3" ht="15.75" x14ac:dyDescent="0.25">
      <c r="A3" s="31"/>
      <c r="B3" s="49" t="s">
        <v>164</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165</v>
      </c>
      <c r="C10" s="36">
        <f>19.58*0.5</f>
        <v>9.7899999999999991</v>
      </c>
    </row>
    <row r="11" spans="1:3" ht="79.5" thickBot="1" x14ac:dyDescent="0.3">
      <c r="A11" s="33">
        <v>1100</v>
      </c>
      <c r="B11" s="102" t="s">
        <v>166</v>
      </c>
      <c r="C11" s="36">
        <f>19.58*1.5</f>
        <v>29.369999999999997</v>
      </c>
    </row>
    <row r="12" spans="1:3" ht="79.5" thickBot="1" x14ac:dyDescent="0.3">
      <c r="A12" s="33">
        <v>1100</v>
      </c>
      <c r="B12" s="37" t="s">
        <v>167</v>
      </c>
      <c r="C12" s="36">
        <f>19.58*2</f>
        <v>39.159999999999997</v>
      </c>
    </row>
    <row r="13" spans="1:3" ht="16.5" thickBot="1" x14ac:dyDescent="0.3">
      <c r="A13" s="33">
        <v>2322</v>
      </c>
      <c r="B13" s="37" t="s">
        <v>29</v>
      </c>
      <c r="C13" s="36">
        <v>14.77</v>
      </c>
    </row>
    <row r="14" spans="1:3" ht="79.5" thickBot="1" x14ac:dyDescent="0.3">
      <c r="A14" s="33">
        <v>1100</v>
      </c>
      <c r="B14" s="37" t="s">
        <v>168</v>
      </c>
      <c r="C14" s="103">
        <f>19.58*2</f>
        <v>39.159999999999997</v>
      </c>
    </row>
    <row r="15" spans="1:3" ht="79.5" thickBot="1" x14ac:dyDescent="0.3">
      <c r="A15" s="65">
        <v>1100</v>
      </c>
      <c r="B15" s="107" t="s">
        <v>154</v>
      </c>
      <c r="C15" s="109">
        <f>12.97*6</f>
        <v>77.820000000000007</v>
      </c>
    </row>
    <row r="16" spans="1:3" ht="16.5" thickBot="1" x14ac:dyDescent="0.3">
      <c r="A16" s="65">
        <v>2341</v>
      </c>
      <c r="B16" s="110" t="s">
        <v>169</v>
      </c>
      <c r="C16" s="95">
        <v>29.12</v>
      </c>
    </row>
    <row r="17" spans="1:3" ht="79.5" thickBot="1" x14ac:dyDescent="0.3">
      <c r="A17" s="87">
        <v>1100</v>
      </c>
      <c r="B17" s="104" t="s">
        <v>170</v>
      </c>
      <c r="C17" s="111">
        <f>12.97*2.75</f>
        <v>35.667500000000004</v>
      </c>
    </row>
    <row r="18" spans="1:3" ht="16.5" thickBot="1" x14ac:dyDescent="0.3">
      <c r="A18" s="34"/>
      <c r="B18" s="39" t="s">
        <v>8</v>
      </c>
      <c r="C18" s="92">
        <f>SUM(C10:C17)</f>
        <v>274.85750000000002</v>
      </c>
    </row>
    <row r="19" spans="1:3" ht="16.5" thickBot="1" x14ac:dyDescent="0.3">
      <c r="A19" s="34"/>
      <c r="B19" s="33" t="s">
        <v>9</v>
      </c>
      <c r="C19" s="36" t="s">
        <v>4</v>
      </c>
    </row>
    <row r="20" spans="1:3" ht="16.5" thickBot="1" x14ac:dyDescent="0.3">
      <c r="A20" s="33">
        <v>1100</v>
      </c>
      <c r="B20" s="40" t="s">
        <v>30</v>
      </c>
      <c r="C20" s="36">
        <v>3.05</v>
      </c>
    </row>
    <row r="21" spans="1:3" ht="16.5" thickBot="1" x14ac:dyDescent="0.3">
      <c r="A21" s="93">
        <v>2210</v>
      </c>
      <c r="B21" s="62" t="s">
        <v>11</v>
      </c>
      <c r="C21" s="36">
        <v>1.02</v>
      </c>
    </row>
    <row r="22" spans="1:3" ht="16.5" thickBot="1" x14ac:dyDescent="0.3">
      <c r="A22" s="38">
        <v>2220</v>
      </c>
      <c r="B22" s="40" t="s">
        <v>12</v>
      </c>
      <c r="C22" s="36">
        <v>3.93</v>
      </c>
    </row>
    <row r="23" spans="1:3" ht="16.5" thickBot="1" x14ac:dyDescent="0.3">
      <c r="A23" s="38">
        <v>2240</v>
      </c>
      <c r="B23" s="40" t="s">
        <v>56</v>
      </c>
      <c r="C23" s="36">
        <v>10.44</v>
      </c>
    </row>
    <row r="24" spans="1:3" ht="16.5" thickBot="1" x14ac:dyDescent="0.3">
      <c r="A24" s="38">
        <v>2250</v>
      </c>
      <c r="B24" s="40" t="s">
        <v>14</v>
      </c>
      <c r="C24" s="36">
        <v>4.26</v>
      </c>
    </row>
    <row r="25" spans="1:3" ht="16.5" thickBot="1" x14ac:dyDescent="0.3">
      <c r="A25" s="38">
        <v>2310</v>
      </c>
      <c r="B25" s="40" t="s">
        <v>15</v>
      </c>
      <c r="C25" s="36">
        <v>1.92</v>
      </c>
    </row>
    <row r="26" spans="1:3" ht="16.5" thickBot="1" x14ac:dyDescent="0.3">
      <c r="A26" s="38">
        <v>5200</v>
      </c>
      <c r="B26" s="44" t="s">
        <v>16</v>
      </c>
      <c r="C26" s="36">
        <v>2.87</v>
      </c>
    </row>
    <row r="27" spans="1:3" ht="16.5" thickBot="1" x14ac:dyDescent="0.3">
      <c r="A27" s="34"/>
      <c r="B27" s="39" t="s">
        <v>17</v>
      </c>
      <c r="C27" s="36">
        <f>SUM(C20:C26)</f>
        <v>27.49</v>
      </c>
    </row>
    <row r="28" spans="1:3" ht="16.5" thickBot="1" x14ac:dyDescent="0.3">
      <c r="A28" s="33"/>
      <c r="B28" s="45" t="s">
        <v>18</v>
      </c>
      <c r="C28" s="36">
        <f>ROUND((SUM(C18,C27)),2)</f>
        <v>302.35000000000002</v>
      </c>
    </row>
    <row r="29" spans="1:3" ht="16.5" thickBot="1" x14ac:dyDescent="0.3">
      <c r="A29" s="252" t="s">
        <v>19</v>
      </c>
      <c r="B29" s="253"/>
      <c r="C29" s="89">
        <v>1</v>
      </c>
    </row>
    <row r="30" spans="1:3" ht="16.5" thickBot="1" x14ac:dyDescent="0.3">
      <c r="A30" s="252" t="s">
        <v>20</v>
      </c>
      <c r="B30" s="253"/>
      <c r="C30" s="47">
        <f>C28</f>
        <v>302.35000000000002</v>
      </c>
    </row>
    <row r="31" spans="1:3" ht="16.5" thickBot="1" x14ac:dyDescent="0.3">
      <c r="A31" s="252" t="s">
        <v>21</v>
      </c>
      <c r="B31" s="253"/>
      <c r="C31" s="88">
        <v>1</v>
      </c>
    </row>
    <row r="32" spans="1:3" ht="16.5" thickBot="1" x14ac:dyDescent="0.3">
      <c r="A32" s="252" t="s">
        <v>22</v>
      </c>
      <c r="B32" s="253"/>
      <c r="C32" s="47">
        <f>C31*C30</f>
        <v>302.35000000000002</v>
      </c>
    </row>
  </sheetData>
  <mergeCells count="4">
    <mergeCell ref="A29:B29"/>
    <mergeCell ref="A30:B30"/>
    <mergeCell ref="A31:B31"/>
    <mergeCell ref="A32:B32"/>
  </mergeCell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C28A-92F1-47F2-89DF-A8116AD31758}">
  <sheetPr>
    <tabColor theme="9" tint="0.79998168889431442"/>
  </sheetPr>
  <dimension ref="A1:C32"/>
  <sheetViews>
    <sheetView topLeftCell="A12"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163</v>
      </c>
      <c r="C2" s="30"/>
    </row>
    <row r="3" spans="1:3" ht="15.75" x14ac:dyDescent="0.25">
      <c r="A3" s="31"/>
      <c r="B3" s="49" t="s">
        <v>171</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7" t="s">
        <v>172</v>
      </c>
      <c r="C10" s="36">
        <f>19.58*1</f>
        <v>19.579999999999998</v>
      </c>
    </row>
    <row r="11" spans="1:3" ht="79.5" thickBot="1" x14ac:dyDescent="0.3">
      <c r="A11" s="33">
        <v>1100</v>
      </c>
      <c r="B11" s="102" t="s">
        <v>166</v>
      </c>
      <c r="C11" s="36">
        <f>19.58*1.5</f>
        <v>29.369999999999997</v>
      </c>
    </row>
    <row r="12" spans="1:3" ht="79.5" thickBot="1" x14ac:dyDescent="0.3">
      <c r="A12" s="33">
        <v>1100</v>
      </c>
      <c r="B12" s="37" t="s">
        <v>167</v>
      </c>
      <c r="C12" s="36">
        <f>19.58*2</f>
        <v>39.159999999999997</v>
      </c>
    </row>
    <row r="13" spans="1:3" ht="16.5" thickBot="1" x14ac:dyDescent="0.3">
      <c r="A13" s="33">
        <v>2322</v>
      </c>
      <c r="B13" s="37" t="s">
        <v>29</v>
      </c>
      <c r="C13" s="36">
        <v>14.77</v>
      </c>
    </row>
    <row r="14" spans="1:3" ht="79.5" thickBot="1" x14ac:dyDescent="0.3">
      <c r="A14" s="33">
        <v>1100</v>
      </c>
      <c r="B14" s="37" t="s">
        <v>168</v>
      </c>
      <c r="C14" s="103">
        <f>19.58*2</f>
        <v>39.159999999999997</v>
      </c>
    </row>
    <row r="15" spans="1:3" ht="79.5" thickBot="1" x14ac:dyDescent="0.3">
      <c r="A15" s="65">
        <v>1100</v>
      </c>
      <c r="B15" s="107" t="s">
        <v>154</v>
      </c>
      <c r="C15" s="109">
        <f>12.97*6</f>
        <v>77.820000000000007</v>
      </c>
    </row>
    <row r="16" spans="1:3" ht="16.5" thickBot="1" x14ac:dyDescent="0.3">
      <c r="A16" s="65">
        <v>2341</v>
      </c>
      <c r="B16" s="110" t="s">
        <v>169</v>
      </c>
      <c r="C16" s="95">
        <v>29.12</v>
      </c>
    </row>
    <row r="17" spans="1:3" ht="79.5" thickBot="1" x14ac:dyDescent="0.3">
      <c r="A17" s="87">
        <v>1100</v>
      </c>
      <c r="B17" s="104" t="s">
        <v>173</v>
      </c>
      <c r="C17" s="111">
        <f>12.97*3.25</f>
        <v>42.152500000000003</v>
      </c>
    </row>
    <row r="18" spans="1:3" ht="16.5" thickBot="1" x14ac:dyDescent="0.3">
      <c r="A18" s="34"/>
      <c r="B18" s="39" t="s">
        <v>8</v>
      </c>
      <c r="C18" s="92">
        <f>SUM(C10:C17)</f>
        <v>291.13249999999994</v>
      </c>
    </row>
    <row r="19" spans="1:3" ht="16.5" thickBot="1" x14ac:dyDescent="0.3">
      <c r="A19" s="34"/>
      <c r="B19" s="33" t="s">
        <v>9</v>
      </c>
      <c r="C19" s="36" t="s">
        <v>4</v>
      </c>
    </row>
    <row r="20" spans="1:3" ht="16.5" thickBot="1" x14ac:dyDescent="0.3">
      <c r="A20" s="33">
        <v>1100</v>
      </c>
      <c r="B20" s="40" t="s">
        <v>30</v>
      </c>
      <c r="C20" s="36">
        <v>3.23</v>
      </c>
    </row>
    <row r="21" spans="1:3" ht="16.5" thickBot="1" x14ac:dyDescent="0.3">
      <c r="A21" s="93">
        <v>2210</v>
      </c>
      <c r="B21" s="62" t="s">
        <v>11</v>
      </c>
      <c r="C21" s="36">
        <v>1.08</v>
      </c>
    </row>
    <row r="22" spans="1:3" ht="16.5" thickBot="1" x14ac:dyDescent="0.3">
      <c r="A22" s="38">
        <v>2220</v>
      </c>
      <c r="B22" s="40" t="s">
        <v>12</v>
      </c>
      <c r="C22" s="36">
        <v>4.16</v>
      </c>
    </row>
    <row r="23" spans="1:3" ht="16.5" thickBot="1" x14ac:dyDescent="0.3">
      <c r="A23" s="38">
        <v>2240</v>
      </c>
      <c r="B23" s="40" t="s">
        <v>56</v>
      </c>
      <c r="C23" s="36">
        <v>11.06</v>
      </c>
    </row>
    <row r="24" spans="1:3" ht="16.5" thickBot="1" x14ac:dyDescent="0.3">
      <c r="A24" s="38">
        <v>2250</v>
      </c>
      <c r="B24" s="40" t="s">
        <v>14</v>
      </c>
      <c r="C24" s="36">
        <v>4.51</v>
      </c>
    </row>
    <row r="25" spans="1:3" ht="16.5" thickBot="1" x14ac:dyDescent="0.3">
      <c r="A25" s="38">
        <v>2310</v>
      </c>
      <c r="B25" s="40" t="s">
        <v>15</v>
      </c>
      <c r="C25" s="36">
        <v>2.04</v>
      </c>
    </row>
    <row r="26" spans="1:3" ht="16.5" thickBot="1" x14ac:dyDescent="0.3">
      <c r="A26" s="38">
        <v>5200</v>
      </c>
      <c r="B26" s="44" t="s">
        <v>16</v>
      </c>
      <c r="C26" s="36">
        <v>3.04</v>
      </c>
    </row>
    <row r="27" spans="1:3" ht="16.5" thickBot="1" x14ac:dyDescent="0.3">
      <c r="A27" s="34"/>
      <c r="B27" s="39" t="s">
        <v>17</v>
      </c>
      <c r="C27" s="36">
        <f>SUM(C20:C26)</f>
        <v>29.119999999999997</v>
      </c>
    </row>
    <row r="28" spans="1:3" ht="16.5" thickBot="1" x14ac:dyDescent="0.3">
      <c r="A28" s="33"/>
      <c r="B28" s="45" t="s">
        <v>18</v>
      </c>
      <c r="C28" s="36">
        <f>ROUND((SUM(C18,C27)),2)</f>
        <v>320.25</v>
      </c>
    </row>
    <row r="29" spans="1:3" ht="16.5" thickBot="1" x14ac:dyDescent="0.3">
      <c r="A29" s="252" t="s">
        <v>19</v>
      </c>
      <c r="B29" s="253"/>
      <c r="C29" s="89">
        <v>1</v>
      </c>
    </row>
    <row r="30" spans="1:3" ht="16.5" thickBot="1" x14ac:dyDescent="0.3">
      <c r="A30" s="252" t="s">
        <v>20</v>
      </c>
      <c r="B30" s="253"/>
      <c r="C30" s="47">
        <f>C28</f>
        <v>320.25</v>
      </c>
    </row>
    <row r="31" spans="1:3" ht="16.5" thickBot="1" x14ac:dyDescent="0.3">
      <c r="A31" s="252" t="s">
        <v>21</v>
      </c>
      <c r="B31" s="253"/>
      <c r="C31" s="88">
        <v>1</v>
      </c>
    </row>
    <row r="32" spans="1:3" ht="16.5" thickBot="1" x14ac:dyDescent="0.3">
      <c r="A32" s="252" t="s">
        <v>22</v>
      </c>
      <c r="B32" s="253"/>
      <c r="C32" s="47">
        <f>C31*C30</f>
        <v>320.25</v>
      </c>
    </row>
  </sheetData>
  <mergeCells count="4">
    <mergeCell ref="A29:B29"/>
    <mergeCell ref="A30:B30"/>
    <mergeCell ref="A31:B31"/>
    <mergeCell ref="A32:B32"/>
  </mergeCell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8DFC-58E2-4112-A426-33641D6F38C9}">
  <sheetPr>
    <tabColor theme="9" tint="0.79998168889431442"/>
  </sheetPr>
  <dimension ref="A1:C27"/>
  <sheetViews>
    <sheetView topLeftCell="A11" zoomScale="85" zoomScaleNormal="85" workbookViewId="0">
      <selection activeCell="B2" sqref="B2:C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174</v>
      </c>
      <c r="C2" s="252"/>
    </row>
    <row r="3" spans="1:3" ht="15.75" x14ac:dyDescent="0.25">
      <c r="A3" s="31" t="s">
        <v>71</v>
      </c>
      <c r="B3" s="29" t="s">
        <v>72</v>
      </c>
      <c r="C3" s="30"/>
    </row>
    <row r="4" spans="1:3" ht="15.75" x14ac:dyDescent="0.25">
      <c r="A4" s="29"/>
      <c r="B4" s="29"/>
      <c r="C4" s="30"/>
    </row>
    <row r="5" spans="1:3" ht="16.5" thickBot="1" x14ac:dyDescent="0.3">
      <c r="A5" s="29"/>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79.5" thickBot="1" x14ac:dyDescent="0.3">
      <c r="A9" s="33">
        <v>1100</v>
      </c>
      <c r="B9" s="37" t="s">
        <v>175</v>
      </c>
      <c r="C9" s="33">
        <f>ROUND((19.58*5/10),2)</f>
        <v>9.7899999999999991</v>
      </c>
    </row>
    <row r="10" spans="1:3" ht="79.5" thickBot="1" x14ac:dyDescent="0.3">
      <c r="A10" s="33">
        <v>1100</v>
      </c>
      <c r="B10" s="37" t="s">
        <v>176</v>
      </c>
      <c r="C10" s="36">
        <f>ROUND((12.97*2/10),2)</f>
        <v>2.59</v>
      </c>
    </row>
    <row r="11" spans="1:3" ht="79.5" thickBot="1" x14ac:dyDescent="0.3">
      <c r="A11" s="33">
        <v>1100</v>
      </c>
      <c r="B11" s="37" t="s">
        <v>177</v>
      </c>
      <c r="C11" s="36">
        <f>ROUND((12.97*1/10),2)</f>
        <v>1.3</v>
      </c>
    </row>
    <row r="12" spans="1:3" ht="79.5" thickBot="1" x14ac:dyDescent="0.3">
      <c r="A12" s="33">
        <v>1100</v>
      </c>
      <c r="B12" s="35" t="s">
        <v>178</v>
      </c>
      <c r="C12" s="36">
        <f>ROUND((19.58*20/10),2)</f>
        <v>39.159999999999997</v>
      </c>
    </row>
    <row r="13" spans="1:3" ht="16.5" thickBot="1" x14ac:dyDescent="0.3">
      <c r="A13" s="34"/>
      <c r="B13" s="39" t="s">
        <v>8</v>
      </c>
      <c r="C13" s="92">
        <f>SUM(C9:C12)</f>
        <v>52.839999999999996</v>
      </c>
    </row>
    <row r="14" spans="1:3" ht="16.5" thickBot="1" x14ac:dyDescent="0.3">
      <c r="A14" s="34"/>
      <c r="B14" s="35"/>
      <c r="C14" s="33"/>
    </row>
    <row r="15" spans="1:3" ht="16.5" thickBot="1" x14ac:dyDescent="0.3">
      <c r="A15" s="34"/>
      <c r="B15" s="33" t="s">
        <v>9</v>
      </c>
      <c r="C15" s="33" t="s">
        <v>4</v>
      </c>
    </row>
    <row r="16" spans="1:3" ht="16.5" thickBot="1" x14ac:dyDescent="0.3">
      <c r="A16" s="33">
        <v>1100</v>
      </c>
      <c r="B16" s="40" t="s">
        <v>30</v>
      </c>
      <c r="C16" s="36">
        <v>0.66</v>
      </c>
    </row>
    <row r="17" spans="1:3" ht="16.5" thickBot="1" x14ac:dyDescent="0.3">
      <c r="A17" s="93">
        <v>2210</v>
      </c>
      <c r="B17" s="62" t="s">
        <v>11</v>
      </c>
      <c r="C17" s="36">
        <v>0.22</v>
      </c>
    </row>
    <row r="18" spans="1:3" ht="16.5" thickBot="1" x14ac:dyDescent="0.3">
      <c r="A18" s="38">
        <v>2220</v>
      </c>
      <c r="B18" s="40" t="s">
        <v>12</v>
      </c>
      <c r="C18" s="36">
        <v>0.86</v>
      </c>
    </row>
    <row r="19" spans="1:3" ht="16.5" thickBot="1" x14ac:dyDescent="0.3">
      <c r="A19" s="38">
        <v>2240</v>
      </c>
      <c r="B19" s="40" t="s">
        <v>56</v>
      </c>
      <c r="C19" s="36">
        <v>2.27</v>
      </c>
    </row>
    <row r="20" spans="1:3" ht="16.5" thickBot="1" x14ac:dyDescent="0.3">
      <c r="A20" s="38">
        <v>2310</v>
      </c>
      <c r="B20" s="40" t="s">
        <v>15</v>
      </c>
      <c r="C20" s="36">
        <v>0.42</v>
      </c>
    </row>
    <row r="21" spans="1:3" ht="16.5" thickBot="1" x14ac:dyDescent="0.3">
      <c r="A21" s="38">
        <v>5200</v>
      </c>
      <c r="B21" s="40" t="s">
        <v>16</v>
      </c>
      <c r="C21" s="36">
        <v>0.85</v>
      </c>
    </row>
    <row r="22" spans="1:3" ht="16.5" thickBot="1" x14ac:dyDescent="0.3">
      <c r="A22" s="34"/>
      <c r="B22" s="39" t="s">
        <v>17</v>
      </c>
      <c r="C22" s="36">
        <f>SUM(C16:C21)</f>
        <v>5.2799999999999994</v>
      </c>
    </row>
    <row r="23" spans="1:3" ht="16.5" thickBot="1" x14ac:dyDescent="0.3">
      <c r="A23" s="33"/>
      <c r="B23" s="45" t="s">
        <v>18</v>
      </c>
      <c r="C23" s="36">
        <f>ROUND((SUM(C13,C22)),2)</f>
        <v>58.12</v>
      </c>
    </row>
    <row r="24" spans="1:3" ht="16.5" thickBot="1" x14ac:dyDescent="0.3">
      <c r="A24" s="252" t="s">
        <v>19</v>
      </c>
      <c r="B24" s="253"/>
      <c r="C24" s="46">
        <v>1</v>
      </c>
    </row>
    <row r="25" spans="1:3" ht="16.5" thickBot="1" x14ac:dyDescent="0.3">
      <c r="A25" s="252" t="s">
        <v>20</v>
      </c>
      <c r="B25" s="253"/>
      <c r="C25" s="48">
        <f>C23</f>
        <v>58.12</v>
      </c>
    </row>
    <row r="26" spans="1:3" ht="16.5" thickBot="1" x14ac:dyDescent="0.3">
      <c r="A26" s="252" t="s">
        <v>21</v>
      </c>
      <c r="B26" s="253"/>
      <c r="C26" s="101">
        <v>1</v>
      </c>
    </row>
    <row r="27" spans="1:3" ht="16.5" thickBot="1" x14ac:dyDescent="0.3">
      <c r="A27" s="252" t="s">
        <v>22</v>
      </c>
      <c r="B27" s="253"/>
      <c r="C27" s="47">
        <f>C26*C25</f>
        <v>58.12</v>
      </c>
    </row>
  </sheetData>
  <mergeCells count="5">
    <mergeCell ref="B2:C2"/>
    <mergeCell ref="A24:B24"/>
    <mergeCell ref="A25:B25"/>
    <mergeCell ref="A26:B26"/>
    <mergeCell ref="A27:B27"/>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DD6C-B5DE-4F33-8B31-130EC465ECDE}">
  <sheetPr>
    <tabColor theme="9" tint="0.79998168889431442"/>
  </sheetPr>
  <dimension ref="A1:C25"/>
  <sheetViews>
    <sheetView topLeftCell="A6"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181</v>
      </c>
      <c r="C2" s="30"/>
    </row>
    <row r="3" spans="1:3" ht="15.75" x14ac:dyDescent="0.25">
      <c r="A3" s="31" t="s">
        <v>71</v>
      </c>
      <c r="B3" s="29" t="s">
        <v>72</v>
      </c>
      <c r="C3" s="30"/>
    </row>
    <row r="4" spans="1:3" ht="15.75" x14ac:dyDescent="0.25">
      <c r="A4" s="29"/>
      <c r="B4" s="29"/>
      <c r="C4" s="30"/>
    </row>
    <row r="5" spans="1:3" ht="16.5" thickBot="1" x14ac:dyDescent="0.3">
      <c r="A5" s="29"/>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79.5" thickBot="1" x14ac:dyDescent="0.3">
      <c r="A9" s="33">
        <v>1100</v>
      </c>
      <c r="B9" s="37" t="s">
        <v>179</v>
      </c>
      <c r="C9" s="36">
        <f>19.58*2</f>
        <v>39.159999999999997</v>
      </c>
    </row>
    <row r="10" spans="1:3" ht="79.5" thickBot="1" x14ac:dyDescent="0.3">
      <c r="A10" s="33">
        <v>1100</v>
      </c>
      <c r="B10" s="37" t="s">
        <v>180</v>
      </c>
      <c r="C10" s="36">
        <f>19.58*6</f>
        <v>117.47999999999999</v>
      </c>
    </row>
    <row r="11" spans="1:3" ht="16.5" thickBot="1" x14ac:dyDescent="0.3">
      <c r="A11" s="34"/>
      <c r="B11" s="39" t="s">
        <v>8</v>
      </c>
      <c r="C11" s="92">
        <f>SUM(C9:C10)</f>
        <v>156.63999999999999</v>
      </c>
    </row>
    <row r="12" spans="1:3" ht="16.5" thickBot="1" x14ac:dyDescent="0.3">
      <c r="A12" s="34"/>
      <c r="B12" s="33" t="s">
        <v>9</v>
      </c>
      <c r="C12" s="36" t="s">
        <v>4</v>
      </c>
    </row>
    <row r="13" spans="1:3" ht="16.5" thickBot="1" x14ac:dyDescent="0.3">
      <c r="A13" s="33">
        <v>1100</v>
      </c>
      <c r="B13" s="40" t="s">
        <v>30</v>
      </c>
      <c r="C13" s="36">
        <v>1.74</v>
      </c>
    </row>
    <row r="14" spans="1:3" ht="16.5" thickBot="1" x14ac:dyDescent="0.3">
      <c r="A14" s="93">
        <v>2210</v>
      </c>
      <c r="B14" s="62" t="s">
        <v>11</v>
      </c>
      <c r="C14" s="36">
        <v>0.57999999999999996</v>
      </c>
    </row>
    <row r="15" spans="1:3" ht="16.5" thickBot="1" x14ac:dyDescent="0.3">
      <c r="A15" s="38">
        <v>2220</v>
      </c>
      <c r="B15" s="40" t="s">
        <v>12</v>
      </c>
      <c r="C15" s="36">
        <v>2.2400000000000002</v>
      </c>
    </row>
    <row r="16" spans="1:3" ht="16.5" thickBot="1" x14ac:dyDescent="0.3">
      <c r="A16" s="38">
        <v>2240</v>
      </c>
      <c r="B16" s="40" t="s">
        <v>56</v>
      </c>
      <c r="C16" s="36">
        <v>5.95</v>
      </c>
    </row>
    <row r="17" spans="1:3" ht="16.5" thickBot="1" x14ac:dyDescent="0.3">
      <c r="A17" s="38">
        <v>2250</v>
      </c>
      <c r="B17" s="40" t="s">
        <v>14</v>
      </c>
      <c r="C17" s="36">
        <v>2.4300000000000002</v>
      </c>
    </row>
    <row r="18" spans="1:3" ht="16.5" thickBot="1" x14ac:dyDescent="0.3">
      <c r="A18" s="38">
        <v>2310</v>
      </c>
      <c r="B18" s="40" t="s">
        <v>15</v>
      </c>
      <c r="C18" s="36">
        <v>1.1000000000000001</v>
      </c>
    </row>
    <row r="19" spans="1:3" ht="16.5" thickBot="1" x14ac:dyDescent="0.3">
      <c r="A19" s="38">
        <v>5200</v>
      </c>
      <c r="B19" s="44" t="s">
        <v>16</v>
      </c>
      <c r="C19" s="36">
        <v>1.63</v>
      </c>
    </row>
    <row r="20" spans="1:3" ht="16.5" thickBot="1" x14ac:dyDescent="0.3">
      <c r="A20" s="34"/>
      <c r="B20" s="39" t="s">
        <v>17</v>
      </c>
      <c r="C20" s="36">
        <f>SUM(C13:C19)</f>
        <v>15.670000000000002</v>
      </c>
    </row>
    <row r="21" spans="1:3" ht="16.5" thickBot="1" x14ac:dyDescent="0.3">
      <c r="A21" s="33"/>
      <c r="B21" s="45" t="s">
        <v>18</v>
      </c>
      <c r="C21" s="36">
        <f>ROUND((SUM(C11,C20)),2)</f>
        <v>172.31</v>
      </c>
    </row>
    <row r="22" spans="1:3" ht="16.5" thickBot="1" x14ac:dyDescent="0.3">
      <c r="A22" s="252" t="s">
        <v>19</v>
      </c>
      <c r="B22" s="253"/>
      <c r="C22" s="89">
        <v>1</v>
      </c>
    </row>
    <row r="23" spans="1:3" ht="16.5" thickBot="1" x14ac:dyDescent="0.3">
      <c r="A23" s="252" t="s">
        <v>20</v>
      </c>
      <c r="B23" s="253"/>
      <c r="C23" s="47">
        <f>C21</f>
        <v>172.31</v>
      </c>
    </row>
    <row r="24" spans="1:3" ht="16.5" thickBot="1" x14ac:dyDescent="0.3">
      <c r="A24" s="252" t="s">
        <v>21</v>
      </c>
      <c r="B24" s="253"/>
      <c r="C24" s="88">
        <v>1</v>
      </c>
    </row>
    <row r="25" spans="1:3" ht="16.5" thickBot="1" x14ac:dyDescent="0.3">
      <c r="A25" s="252" t="s">
        <v>22</v>
      </c>
      <c r="B25" s="253"/>
      <c r="C25" s="47">
        <f>C24*C23</f>
        <v>172.31</v>
      </c>
    </row>
  </sheetData>
  <mergeCells count="4">
    <mergeCell ref="A22:B22"/>
    <mergeCell ref="A23:B23"/>
    <mergeCell ref="A24:B24"/>
    <mergeCell ref="A25:B25"/>
  </mergeCell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79A1-F49D-4A0A-886B-9F4E7983A5F2}">
  <sheetPr>
    <tabColor theme="9" tint="0.79998168889431442"/>
  </sheetPr>
  <dimension ref="A1:C26"/>
  <sheetViews>
    <sheetView topLeftCell="A6"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49" t="s">
        <v>184</v>
      </c>
      <c r="C2" s="30"/>
    </row>
    <row r="3" spans="1:3" ht="15.75" x14ac:dyDescent="0.25">
      <c r="A3" s="31" t="s">
        <v>71</v>
      </c>
      <c r="B3" s="29" t="s">
        <v>72</v>
      </c>
      <c r="C3" s="30"/>
    </row>
    <row r="4" spans="1:3" ht="15.75" x14ac:dyDescent="0.25">
      <c r="A4" s="29"/>
      <c r="B4" s="29"/>
      <c r="C4" s="30"/>
    </row>
    <row r="5" spans="1:3" ht="16.5" thickBot="1" x14ac:dyDescent="0.3">
      <c r="A5" s="29"/>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79.5" thickBot="1" x14ac:dyDescent="0.3">
      <c r="A9" s="33">
        <v>1100</v>
      </c>
      <c r="B9" s="37" t="s">
        <v>182</v>
      </c>
      <c r="C9" s="36">
        <f>19.58*6</f>
        <v>117.47999999999999</v>
      </c>
    </row>
    <row r="10" spans="1:3" ht="79.5" thickBot="1" x14ac:dyDescent="0.3">
      <c r="A10" s="33">
        <v>1100</v>
      </c>
      <c r="B10" s="37" t="s">
        <v>183</v>
      </c>
      <c r="C10" s="36">
        <f>19.58*6</f>
        <v>117.47999999999999</v>
      </c>
    </row>
    <row r="11" spans="1:3" ht="16.5" thickBot="1" x14ac:dyDescent="0.3">
      <c r="A11" s="33">
        <v>3241</v>
      </c>
      <c r="B11" s="37" t="s">
        <v>169</v>
      </c>
      <c r="C11" s="36">
        <v>29.12</v>
      </c>
    </row>
    <row r="12" spans="1:3" ht="16.5" thickBot="1" x14ac:dyDescent="0.3">
      <c r="A12" s="34"/>
      <c r="B12" s="39" t="s">
        <v>8</v>
      </c>
      <c r="C12" s="92">
        <f>SUM(C9:C11)</f>
        <v>264.08</v>
      </c>
    </row>
    <row r="13" spans="1:3" ht="16.5" thickBot="1" x14ac:dyDescent="0.3">
      <c r="A13" s="34"/>
      <c r="B13" s="33" t="s">
        <v>9</v>
      </c>
      <c r="C13" s="36" t="s">
        <v>4</v>
      </c>
    </row>
    <row r="14" spans="1:3" ht="16.5" thickBot="1" x14ac:dyDescent="0.3">
      <c r="A14" s="33">
        <v>1100</v>
      </c>
      <c r="B14" s="40" t="s">
        <v>30</v>
      </c>
      <c r="C14" s="36">
        <v>2.93</v>
      </c>
    </row>
    <row r="15" spans="1:3" ht="16.5" thickBot="1" x14ac:dyDescent="0.3">
      <c r="A15" s="93">
        <v>2210</v>
      </c>
      <c r="B15" s="62" t="s">
        <v>11</v>
      </c>
      <c r="C15" s="36">
        <v>0.98</v>
      </c>
    </row>
    <row r="16" spans="1:3" ht="16.5" thickBot="1" x14ac:dyDescent="0.3">
      <c r="A16" s="38">
        <v>2220</v>
      </c>
      <c r="B16" s="40" t="s">
        <v>12</v>
      </c>
      <c r="C16" s="36">
        <v>3.78</v>
      </c>
    </row>
    <row r="17" spans="1:3" ht="16.5" thickBot="1" x14ac:dyDescent="0.3">
      <c r="A17" s="38">
        <v>2240</v>
      </c>
      <c r="B17" s="40" t="s">
        <v>56</v>
      </c>
      <c r="C17" s="36">
        <v>10.029999999999999</v>
      </c>
    </row>
    <row r="18" spans="1:3" ht="16.5" thickBot="1" x14ac:dyDescent="0.3">
      <c r="A18" s="38">
        <v>2250</v>
      </c>
      <c r="B18" s="40" t="s">
        <v>14</v>
      </c>
      <c r="C18" s="36">
        <v>4.09</v>
      </c>
    </row>
    <row r="19" spans="1:3" ht="16.5" thickBot="1" x14ac:dyDescent="0.3">
      <c r="A19" s="38">
        <v>2310</v>
      </c>
      <c r="B19" s="40" t="s">
        <v>15</v>
      </c>
      <c r="C19" s="36">
        <v>1.85</v>
      </c>
    </row>
    <row r="20" spans="1:3" ht="16.5" thickBot="1" x14ac:dyDescent="0.3">
      <c r="A20" s="38">
        <v>5200</v>
      </c>
      <c r="B20" s="44" t="s">
        <v>16</v>
      </c>
      <c r="C20" s="36">
        <v>2.76</v>
      </c>
    </row>
    <row r="21" spans="1:3" ht="16.5" thickBot="1" x14ac:dyDescent="0.3">
      <c r="A21" s="34"/>
      <c r="B21" s="39" t="s">
        <v>17</v>
      </c>
      <c r="C21" s="36">
        <f>SUM(C14:C20)</f>
        <v>26.42</v>
      </c>
    </row>
    <row r="22" spans="1:3" ht="16.5" thickBot="1" x14ac:dyDescent="0.3">
      <c r="A22" s="33"/>
      <c r="B22" s="45" t="s">
        <v>18</v>
      </c>
      <c r="C22" s="36">
        <f>ROUND((SUM(C12,C21)),2)</f>
        <v>290.5</v>
      </c>
    </row>
    <row r="23" spans="1:3" ht="16.5" thickBot="1" x14ac:dyDescent="0.3">
      <c r="A23" s="252" t="s">
        <v>19</v>
      </c>
      <c r="B23" s="253"/>
      <c r="C23" s="89">
        <v>1</v>
      </c>
    </row>
    <row r="24" spans="1:3" ht="16.5" thickBot="1" x14ac:dyDescent="0.3">
      <c r="A24" s="252" t="s">
        <v>20</v>
      </c>
      <c r="B24" s="253"/>
      <c r="C24" s="47">
        <f>C22</f>
        <v>290.5</v>
      </c>
    </row>
    <row r="25" spans="1:3" ht="16.5" thickBot="1" x14ac:dyDescent="0.3">
      <c r="A25" s="252" t="s">
        <v>21</v>
      </c>
      <c r="B25" s="253"/>
      <c r="C25" s="88">
        <v>1</v>
      </c>
    </row>
    <row r="26" spans="1:3" ht="16.5" thickBot="1" x14ac:dyDescent="0.3">
      <c r="A26" s="252" t="s">
        <v>22</v>
      </c>
      <c r="B26" s="253"/>
      <c r="C26" s="47">
        <f>C25*C24</f>
        <v>290.5</v>
      </c>
    </row>
  </sheetData>
  <mergeCells count="4">
    <mergeCell ref="A23:B23"/>
    <mergeCell ref="A24:B24"/>
    <mergeCell ref="A25:B25"/>
    <mergeCell ref="A26:B26"/>
  </mergeCell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5AE9-7F42-4D92-8033-61496E5112E2}">
  <sheetPr>
    <tabColor theme="9" tint="0.79998168889431442"/>
  </sheetPr>
  <dimension ref="A1:C33"/>
  <sheetViews>
    <sheetView topLeftCell="A16" zoomScale="85" zoomScaleNormal="85" workbookViewId="0">
      <selection activeCell="B11" sqref="B11"/>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289</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290</v>
      </c>
      <c r="C9" s="33"/>
    </row>
    <row r="10" spans="1:3" ht="63.75" thickBot="1" x14ac:dyDescent="0.3">
      <c r="A10" s="33">
        <v>1114</v>
      </c>
      <c r="B10" s="37" t="s">
        <v>301</v>
      </c>
      <c r="C10" s="36">
        <f>11.13*2</f>
        <v>22.26</v>
      </c>
    </row>
    <row r="11" spans="1:3" ht="63.75" thickBot="1" x14ac:dyDescent="0.3">
      <c r="A11" s="33">
        <v>1114</v>
      </c>
      <c r="B11" s="37" t="s">
        <v>302</v>
      </c>
      <c r="C11" s="36">
        <f>13.46*1</f>
        <v>13.46</v>
      </c>
    </row>
    <row r="12" spans="1:3" ht="66" customHeight="1" thickBot="1" x14ac:dyDescent="0.3">
      <c r="A12" s="33">
        <v>1114</v>
      </c>
      <c r="B12" s="37" t="s">
        <v>317</v>
      </c>
      <c r="C12" s="36">
        <f>13.46*8</f>
        <v>107.68</v>
      </c>
    </row>
    <row r="13" spans="1:3" ht="63.75" thickBot="1" x14ac:dyDescent="0.3">
      <c r="A13" s="33">
        <v>1114</v>
      </c>
      <c r="B13" s="37" t="s">
        <v>294</v>
      </c>
      <c r="C13" s="36">
        <f t="shared" ref="C13:C14" si="0">13.46*8</f>
        <v>107.68</v>
      </c>
    </row>
    <row r="14" spans="1:3" ht="63.75" customHeight="1" thickBot="1" x14ac:dyDescent="0.3">
      <c r="A14" s="33">
        <v>1114</v>
      </c>
      <c r="B14" s="37" t="s">
        <v>295</v>
      </c>
      <c r="C14" s="36">
        <f t="shared" si="0"/>
        <v>107.68</v>
      </c>
    </row>
    <row r="15" spans="1:3" ht="16.5" thickBot="1" x14ac:dyDescent="0.3">
      <c r="A15" s="33"/>
      <c r="B15" s="143" t="s">
        <v>293</v>
      </c>
      <c r="C15" s="36"/>
    </row>
    <row r="16" spans="1:3" ht="63.75" thickBot="1" x14ac:dyDescent="0.3">
      <c r="A16" s="33">
        <v>1114</v>
      </c>
      <c r="B16" s="37" t="s">
        <v>311</v>
      </c>
      <c r="C16" s="36">
        <f>13.46*23</f>
        <v>309.58000000000004</v>
      </c>
    </row>
    <row r="17" spans="1:3" ht="63.75" thickBot="1" x14ac:dyDescent="0.3">
      <c r="A17" s="33">
        <v>1114</v>
      </c>
      <c r="B17" s="37" t="s">
        <v>297</v>
      </c>
      <c r="C17" s="36">
        <f>13.46*16</f>
        <v>215.36</v>
      </c>
    </row>
    <row r="18" spans="1:3" ht="63.75" thickBot="1" x14ac:dyDescent="0.3">
      <c r="A18" s="33">
        <v>1114</v>
      </c>
      <c r="B18" s="37" t="s">
        <v>298</v>
      </c>
      <c r="C18" s="36">
        <f>13.46*16</f>
        <v>215.36</v>
      </c>
    </row>
    <row r="19" spans="1:3" ht="63.75" thickBot="1" x14ac:dyDescent="0.3">
      <c r="A19" s="33">
        <v>1114</v>
      </c>
      <c r="B19" s="37" t="s">
        <v>296</v>
      </c>
      <c r="C19" s="36">
        <f>16.8*8</f>
        <v>134.4</v>
      </c>
    </row>
    <row r="20" spans="1:3" ht="63.75" thickBot="1" x14ac:dyDescent="0.3">
      <c r="A20" s="33">
        <v>1114</v>
      </c>
      <c r="B20" s="37" t="s">
        <v>299</v>
      </c>
      <c r="C20" s="36">
        <f>13.46*8</f>
        <v>107.68</v>
      </c>
    </row>
    <row r="21" spans="1:3" ht="16.5" thickBot="1" x14ac:dyDescent="0.3">
      <c r="A21" s="33"/>
      <c r="B21" s="143" t="s">
        <v>300</v>
      </c>
      <c r="C21" s="36"/>
    </row>
    <row r="22" spans="1:3" ht="63.75" thickBot="1" x14ac:dyDescent="0.3">
      <c r="A22" s="33">
        <v>1114</v>
      </c>
      <c r="B22" s="37" t="s">
        <v>296</v>
      </c>
      <c r="C22" s="36">
        <f>16.8*8</f>
        <v>134.4</v>
      </c>
    </row>
    <row r="23" spans="1:3" ht="16.5" thickBot="1" x14ac:dyDescent="0.3">
      <c r="A23" s="33"/>
      <c r="B23" s="37"/>
      <c r="C23" s="36"/>
    </row>
    <row r="24" spans="1:3" ht="16.5" thickBot="1" x14ac:dyDescent="0.3">
      <c r="A24" s="33">
        <v>1114</v>
      </c>
      <c r="B24" s="37" t="s">
        <v>282</v>
      </c>
      <c r="C24" s="105">
        <f>SUM(C10:C22)</f>
        <v>1475.5400000000002</v>
      </c>
    </row>
    <row r="25" spans="1:3" ht="16.5" thickBot="1" x14ac:dyDescent="0.3">
      <c r="A25" s="33">
        <v>1210</v>
      </c>
      <c r="B25" s="81" t="s">
        <v>283</v>
      </c>
      <c r="C25" s="144">
        <f>ROUND(C24*23.59%,2)</f>
        <v>348.08</v>
      </c>
    </row>
    <row r="26" spans="1:3" ht="16.5" thickBot="1" x14ac:dyDescent="0.3">
      <c r="A26" s="34"/>
      <c r="B26" s="39" t="s">
        <v>8</v>
      </c>
      <c r="C26" s="92">
        <f>C24+C25</f>
        <v>1823.6200000000001</v>
      </c>
    </row>
    <row r="27" spans="1:3" ht="16.5" thickBot="1" x14ac:dyDescent="0.3">
      <c r="A27" s="34"/>
      <c r="B27" s="33" t="s">
        <v>9</v>
      </c>
      <c r="C27" s="36" t="s">
        <v>4</v>
      </c>
    </row>
    <row r="28" spans="1:3" ht="16.5" thickBot="1" x14ac:dyDescent="0.3">
      <c r="A28" s="34"/>
      <c r="B28" s="39" t="s">
        <v>17</v>
      </c>
      <c r="C28" s="36">
        <f>ROUND((C26*10%),2)</f>
        <v>182.36</v>
      </c>
    </row>
    <row r="29" spans="1:3" ht="16.5" thickBot="1" x14ac:dyDescent="0.3">
      <c r="A29" s="33"/>
      <c r="B29" s="45" t="s">
        <v>18</v>
      </c>
      <c r="C29" s="36">
        <f>ROUND((SUM(C26,C28)),2)</f>
        <v>2005.98</v>
      </c>
    </row>
    <row r="30" spans="1:3" ht="16.5" thickBot="1" x14ac:dyDescent="0.3">
      <c r="A30" s="252" t="s">
        <v>19</v>
      </c>
      <c r="B30" s="253"/>
      <c r="C30" s="89">
        <v>1</v>
      </c>
    </row>
    <row r="31" spans="1:3" ht="16.5" thickBot="1" x14ac:dyDescent="0.3">
      <c r="A31" s="252" t="s">
        <v>20</v>
      </c>
      <c r="B31" s="253"/>
      <c r="C31" s="47">
        <f>C29</f>
        <v>2005.98</v>
      </c>
    </row>
    <row r="32" spans="1:3" ht="16.5" thickBot="1" x14ac:dyDescent="0.3">
      <c r="A32" s="252" t="s">
        <v>21</v>
      </c>
      <c r="B32" s="253"/>
      <c r="C32" s="88">
        <v>1</v>
      </c>
    </row>
    <row r="33" spans="1:3" ht="16.5" thickBot="1" x14ac:dyDescent="0.3">
      <c r="A33" s="252" t="s">
        <v>22</v>
      </c>
      <c r="B33" s="253"/>
      <c r="C33" s="47">
        <f>C32*C31</f>
        <v>2005.98</v>
      </c>
    </row>
  </sheetData>
  <mergeCells count="4">
    <mergeCell ref="A30:B30"/>
    <mergeCell ref="A31:B31"/>
    <mergeCell ref="A32:B32"/>
    <mergeCell ref="A33:B33"/>
  </mergeCell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7403-5F91-4001-8D11-2EF8833E28B4}">
  <sheetPr>
    <tabColor theme="9" tint="0.79998168889431442"/>
  </sheetPr>
  <dimension ref="A1:C30"/>
  <sheetViews>
    <sheetView topLeftCell="A13" zoomScale="70" zoomScaleNormal="70"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308</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290</v>
      </c>
      <c r="C9" s="33"/>
    </row>
    <row r="10" spans="1:3" ht="63.75" thickBot="1" x14ac:dyDescent="0.3">
      <c r="A10" s="33">
        <v>1114</v>
      </c>
      <c r="B10" s="37" t="s">
        <v>303</v>
      </c>
      <c r="C10" s="36">
        <f>11.13*1</f>
        <v>11.13</v>
      </c>
    </row>
    <row r="11" spans="1:3" ht="63.75" thickBot="1" x14ac:dyDescent="0.3">
      <c r="A11" s="33">
        <v>1114</v>
      </c>
      <c r="B11" s="37" t="s">
        <v>302</v>
      </c>
      <c r="C11" s="36">
        <f>13.46*1</f>
        <v>13.46</v>
      </c>
    </row>
    <row r="12" spans="1:3" ht="16.5" thickBot="1" x14ac:dyDescent="0.3">
      <c r="A12" s="33"/>
      <c r="B12" s="143" t="s">
        <v>293</v>
      </c>
      <c r="C12" s="36"/>
    </row>
    <row r="13" spans="1:3" ht="63.75" thickBot="1" x14ac:dyDescent="0.3">
      <c r="A13" s="33">
        <v>1114</v>
      </c>
      <c r="B13" s="37" t="s">
        <v>310</v>
      </c>
      <c r="C13" s="36">
        <f>13.46*5</f>
        <v>67.300000000000011</v>
      </c>
    </row>
    <row r="14" spans="1:3" ht="63.75" thickBot="1" x14ac:dyDescent="0.3">
      <c r="A14" s="33">
        <v>1114</v>
      </c>
      <c r="B14" s="37" t="s">
        <v>304</v>
      </c>
      <c r="C14" s="36">
        <f>13.46*5</f>
        <v>67.300000000000011</v>
      </c>
    </row>
    <row r="15" spans="1:3" ht="63.75" thickBot="1" x14ac:dyDescent="0.3">
      <c r="A15" s="33">
        <v>1114</v>
      </c>
      <c r="B15" s="37" t="s">
        <v>305</v>
      </c>
      <c r="C15" s="36">
        <f>13.46*5</f>
        <v>67.300000000000011</v>
      </c>
    </row>
    <row r="16" spans="1:3" ht="63.75" thickBot="1" x14ac:dyDescent="0.3">
      <c r="A16" s="33">
        <v>1114</v>
      </c>
      <c r="B16" s="37" t="s">
        <v>306</v>
      </c>
      <c r="C16" s="36">
        <f>16.8*3</f>
        <v>50.400000000000006</v>
      </c>
    </row>
    <row r="17" spans="1:3" ht="63.75" thickBot="1" x14ac:dyDescent="0.3">
      <c r="A17" s="33">
        <v>1114</v>
      </c>
      <c r="B17" s="37" t="s">
        <v>307</v>
      </c>
      <c r="C17" s="36">
        <f>13.46*3</f>
        <v>40.380000000000003</v>
      </c>
    </row>
    <row r="18" spans="1:3" ht="16.5" thickBot="1" x14ac:dyDescent="0.3">
      <c r="A18" s="33"/>
      <c r="B18" s="143" t="s">
        <v>300</v>
      </c>
      <c r="C18" s="36"/>
    </row>
    <row r="19" spans="1:3" ht="63.75" thickBot="1" x14ac:dyDescent="0.3">
      <c r="A19" s="33">
        <v>1114</v>
      </c>
      <c r="B19" s="37" t="s">
        <v>306</v>
      </c>
      <c r="C19" s="36">
        <f>16.8*3</f>
        <v>50.400000000000006</v>
      </c>
    </row>
    <row r="20" spans="1:3" ht="16.5" thickBot="1" x14ac:dyDescent="0.3">
      <c r="A20" s="33"/>
      <c r="B20" s="37"/>
      <c r="C20" s="36"/>
    </row>
    <row r="21" spans="1:3" ht="16.5" thickBot="1" x14ac:dyDescent="0.3">
      <c r="A21" s="33">
        <v>1114</v>
      </c>
      <c r="B21" s="37" t="s">
        <v>282</v>
      </c>
      <c r="C21" s="105">
        <f>SUM(C10:C19)</f>
        <v>367.67000000000007</v>
      </c>
    </row>
    <row r="22" spans="1:3" ht="16.5" thickBot="1" x14ac:dyDescent="0.3">
      <c r="A22" s="33">
        <v>1210</v>
      </c>
      <c r="B22" s="81" t="s">
        <v>283</v>
      </c>
      <c r="C22" s="144">
        <f>ROUND(C21*23.59%,2)</f>
        <v>86.73</v>
      </c>
    </row>
    <row r="23" spans="1:3" ht="16.5" thickBot="1" x14ac:dyDescent="0.3">
      <c r="A23" s="34"/>
      <c r="B23" s="39" t="s">
        <v>8</v>
      </c>
      <c r="C23" s="92">
        <f>C21+C22</f>
        <v>454.40000000000009</v>
      </c>
    </row>
    <row r="24" spans="1:3" ht="16.5" thickBot="1" x14ac:dyDescent="0.3">
      <c r="A24" s="34"/>
      <c r="B24" s="33" t="s">
        <v>9</v>
      </c>
      <c r="C24" s="36" t="s">
        <v>4</v>
      </c>
    </row>
    <row r="25" spans="1:3" ht="16.5" thickBot="1" x14ac:dyDescent="0.3">
      <c r="A25" s="34"/>
      <c r="B25" s="39" t="s">
        <v>17</v>
      </c>
      <c r="C25" s="36">
        <f>ROUND((C23*10%),2)</f>
        <v>45.44</v>
      </c>
    </row>
    <row r="26" spans="1:3" ht="16.5" thickBot="1" x14ac:dyDescent="0.3">
      <c r="A26" s="33"/>
      <c r="B26" s="45" t="s">
        <v>18</v>
      </c>
      <c r="C26" s="36">
        <f>ROUND((SUM(C23,C25)),2)</f>
        <v>499.84</v>
      </c>
    </row>
    <row r="27" spans="1:3" ht="16.5" thickBot="1" x14ac:dyDescent="0.3">
      <c r="A27" s="252" t="s">
        <v>19</v>
      </c>
      <c r="B27" s="253"/>
      <c r="C27" s="89">
        <v>1</v>
      </c>
    </row>
    <row r="28" spans="1:3" ht="16.5" thickBot="1" x14ac:dyDescent="0.3">
      <c r="A28" s="252" t="s">
        <v>20</v>
      </c>
      <c r="B28" s="253"/>
      <c r="C28" s="47">
        <f>C26</f>
        <v>499.84</v>
      </c>
    </row>
    <row r="29" spans="1:3" ht="16.5" thickBot="1" x14ac:dyDescent="0.3">
      <c r="A29" s="252" t="s">
        <v>21</v>
      </c>
      <c r="B29" s="253"/>
      <c r="C29" s="88">
        <v>1</v>
      </c>
    </row>
    <row r="30" spans="1:3" ht="16.5" thickBot="1" x14ac:dyDescent="0.3">
      <c r="A30" s="252" t="s">
        <v>22</v>
      </c>
      <c r="B30" s="253"/>
      <c r="C30" s="47">
        <f>C29*C28</f>
        <v>499.84</v>
      </c>
    </row>
  </sheetData>
  <mergeCells count="4">
    <mergeCell ref="A27:B27"/>
    <mergeCell ref="A28:B28"/>
    <mergeCell ref="A29:B29"/>
    <mergeCell ref="A30:B30"/>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DE72-AF33-40CB-BFE2-13C3CA60520A}">
  <sheetPr>
    <tabColor theme="9" tint="0.79998168889431442"/>
  </sheetPr>
  <dimension ref="A1:C26"/>
  <sheetViews>
    <sheetView topLeftCell="A6"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309</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290</v>
      </c>
      <c r="C9" s="33"/>
    </row>
    <row r="10" spans="1:3" ht="63.75" thickBot="1" x14ac:dyDescent="0.3">
      <c r="A10" s="33">
        <v>1114</v>
      </c>
      <c r="B10" s="37" t="s">
        <v>303</v>
      </c>
      <c r="C10" s="36">
        <f>11.13*1</f>
        <v>11.13</v>
      </c>
    </row>
    <row r="11" spans="1:3" ht="63.75" thickBot="1" x14ac:dyDescent="0.3">
      <c r="A11" s="33">
        <v>1114</v>
      </c>
      <c r="B11" s="37" t="s">
        <v>302</v>
      </c>
      <c r="C11" s="36">
        <f>13.46*1</f>
        <v>13.46</v>
      </c>
    </row>
    <row r="12" spans="1:3" ht="16.5" thickBot="1" x14ac:dyDescent="0.3">
      <c r="A12" s="33"/>
      <c r="B12" s="143" t="s">
        <v>293</v>
      </c>
      <c r="C12" s="36"/>
    </row>
    <row r="13" spans="1:3" ht="63.75" thickBot="1" x14ac:dyDescent="0.3">
      <c r="A13" s="33">
        <v>1114</v>
      </c>
      <c r="B13" s="37" t="s">
        <v>313</v>
      </c>
      <c r="C13" s="36">
        <f>13.46*4</f>
        <v>53.84</v>
      </c>
    </row>
    <row r="14" spans="1:3" ht="16.5" thickBot="1" x14ac:dyDescent="0.3">
      <c r="A14" s="33"/>
      <c r="B14" s="143" t="s">
        <v>300</v>
      </c>
      <c r="C14" s="36"/>
    </row>
    <row r="15" spans="1:3" ht="63.75" thickBot="1" x14ac:dyDescent="0.3">
      <c r="A15" s="33">
        <v>1114</v>
      </c>
      <c r="B15" s="37" t="s">
        <v>312</v>
      </c>
      <c r="C15" s="36">
        <f>16.8*2</f>
        <v>33.6</v>
      </c>
    </row>
    <row r="16" spans="1:3" ht="16.5" thickBot="1" x14ac:dyDescent="0.3">
      <c r="A16" s="33"/>
      <c r="B16" s="37"/>
      <c r="C16" s="36"/>
    </row>
    <row r="17" spans="1:3" ht="16.5" thickBot="1" x14ac:dyDescent="0.3">
      <c r="A17" s="33">
        <v>1114</v>
      </c>
      <c r="B17" s="37" t="s">
        <v>282</v>
      </c>
      <c r="C17" s="105">
        <f>SUM(C10:C15)</f>
        <v>112.03</v>
      </c>
    </row>
    <row r="18" spans="1:3" ht="16.5" thickBot="1" x14ac:dyDescent="0.3">
      <c r="A18" s="33">
        <v>1210</v>
      </c>
      <c r="B18" s="81" t="s">
        <v>283</v>
      </c>
      <c r="C18" s="144">
        <f>ROUND(C17*23.59%,2)</f>
        <v>26.43</v>
      </c>
    </row>
    <row r="19" spans="1:3" ht="16.5" thickBot="1" x14ac:dyDescent="0.3">
      <c r="A19" s="34"/>
      <c r="B19" s="39" t="s">
        <v>8</v>
      </c>
      <c r="C19" s="92">
        <f>C17+C18</f>
        <v>138.46</v>
      </c>
    </row>
    <row r="20" spans="1:3" ht="16.5" thickBot="1" x14ac:dyDescent="0.3">
      <c r="A20" s="34"/>
      <c r="B20" s="33" t="s">
        <v>9</v>
      </c>
      <c r="C20" s="36" t="s">
        <v>4</v>
      </c>
    </row>
    <row r="21" spans="1:3" ht="16.5" thickBot="1" x14ac:dyDescent="0.3">
      <c r="A21" s="34"/>
      <c r="B21" s="39" t="s">
        <v>17</v>
      </c>
      <c r="C21" s="36">
        <f>ROUND((C19*10%),2)</f>
        <v>13.85</v>
      </c>
    </row>
    <row r="22" spans="1:3" ht="16.5" thickBot="1" x14ac:dyDescent="0.3">
      <c r="A22" s="33"/>
      <c r="B22" s="45" t="s">
        <v>18</v>
      </c>
      <c r="C22" s="36">
        <f>ROUND((SUM(C19,C21)),2)</f>
        <v>152.31</v>
      </c>
    </row>
    <row r="23" spans="1:3" ht="16.5" thickBot="1" x14ac:dyDescent="0.3">
      <c r="A23" s="252" t="s">
        <v>19</v>
      </c>
      <c r="B23" s="253"/>
      <c r="C23" s="89">
        <v>1</v>
      </c>
    </row>
    <row r="24" spans="1:3" ht="16.5" thickBot="1" x14ac:dyDescent="0.3">
      <c r="A24" s="252" t="s">
        <v>20</v>
      </c>
      <c r="B24" s="253"/>
      <c r="C24" s="47">
        <f>C22</f>
        <v>152.31</v>
      </c>
    </row>
    <row r="25" spans="1:3" ht="16.5" thickBot="1" x14ac:dyDescent="0.3">
      <c r="A25" s="252" t="s">
        <v>21</v>
      </c>
      <c r="B25" s="253"/>
      <c r="C25" s="88">
        <v>1</v>
      </c>
    </row>
    <row r="26" spans="1:3" ht="16.5" thickBot="1" x14ac:dyDescent="0.3">
      <c r="A26" s="252" t="s">
        <v>22</v>
      </c>
      <c r="B26" s="253"/>
      <c r="C26" s="47">
        <f>C25*C24</f>
        <v>152.31</v>
      </c>
    </row>
  </sheetData>
  <mergeCells count="4">
    <mergeCell ref="A23:B23"/>
    <mergeCell ref="A24:B24"/>
    <mergeCell ref="A25:B25"/>
    <mergeCell ref="A26:B26"/>
  </mergeCell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BFDC-9A8A-4FDC-AE99-A98939326806}">
  <sheetPr>
    <tabColor theme="9" tint="0.79998168889431442"/>
  </sheetPr>
  <dimension ref="A1:C29"/>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314</v>
      </c>
    </row>
    <row r="3" spans="1:3" ht="15.75" x14ac:dyDescent="0.25">
      <c r="A3" s="31"/>
      <c r="B3" s="49" t="s">
        <v>315</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343</v>
      </c>
      <c r="C11" s="36">
        <f>11.13*1.5</f>
        <v>16.695</v>
      </c>
    </row>
    <row r="12" spans="1:3" ht="63.75" thickBot="1" x14ac:dyDescent="0.3">
      <c r="A12" s="33">
        <v>1114</v>
      </c>
      <c r="B12" s="37" t="s">
        <v>318</v>
      </c>
      <c r="C12" s="36">
        <f>13.46*96</f>
        <v>1292.1600000000001</v>
      </c>
    </row>
    <row r="13" spans="1:3" ht="63.75" thickBot="1" x14ac:dyDescent="0.3">
      <c r="A13" s="33">
        <v>1114</v>
      </c>
      <c r="B13" s="37" t="s">
        <v>319</v>
      </c>
      <c r="C13" s="36">
        <f t="shared" ref="C13:C17" si="0">13.46*96</f>
        <v>1292.1600000000001</v>
      </c>
    </row>
    <row r="14" spans="1:3" ht="63.75" thickBot="1" x14ac:dyDescent="0.3">
      <c r="A14" s="33">
        <v>1114</v>
      </c>
      <c r="B14" s="37" t="s">
        <v>320</v>
      </c>
      <c r="C14" s="36">
        <f t="shared" si="0"/>
        <v>1292.1600000000001</v>
      </c>
    </row>
    <row r="15" spans="1:3" ht="63.75" thickBot="1" x14ac:dyDescent="0.3">
      <c r="A15" s="33">
        <v>1114</v>
      </c>
      <c r="B15" s="37" t="s">
        <v>321</v>
      </c>
      <c r="C15" s="36">
        <f t="shared" si="0"/>
        <v>1292.1600000000001</v>
      </c>
    </row>
    <row r="16" spans="1:3" ht="63.75" thickBot="1" x14ac:dyDescent="0.3">
      <c r="A16" s="33">
        <v>1114</v>
      </c>
      <c r="B16" s="37" t="s">
        <v>344</v>
      </c>
      <c r="C16" s="36">
        <f t="shared" si="0"/>
        <v>1292.1600000000001</v>
      </c>
    </row>
    <row r="17" spans="1:3" ht="63.75" thickBot="1" x14ac:dyDescent="0.3">
      <c r="A17" s="33">
        <v>1114</v>
      </c>
      <c r="B17" s="37" t="s">
        <v>345</v>
      </c>
      <c r="C17" s="36">
        <f t="shared" si="0"/>
        <v>1292.1600000000001</v>
      </c>
    </row>
    <row r="18" spans="1:3" ht="63.75" thickBot="1" x14ac:dyDescent="0.3">
      <c r="A18" s="33">
        <v>1114</v>
      </c>
      <c r="B18" s="37" t="s">
        <v>346</v>
      </c>
      <c r="C18" s="36">
        <f>16.8*64</f>
        <v>1075.2</v>
      </c>
    </row>
    <row r="19" spans="1:3" ht="16.5" thickBot="1" x14ac:dyDescent="0.3">
      <c r="A19" s="33"/>
      <c r="B19" s="37"/>
      <c r="C19" s="36"/>
    </row>
    <row r="20" spans="1:3" ht="16.5" thickBot="1" x14ac:dyDescent="0.3">
      <c r="A20" s="33">
        <v>1114</v>
      </c>
      <c r="B20" s="37" t="s">
        <v>282</v>
      </c>
      <c r="C20" s="105">
        <f>SUM(C11:C18)</f>
        <v>8844.8549999999996</v>
      </c>
    </row>
    <row r="21" spans="1:3" ht="16.5" thickBot="1" x14ac:dyDescent="0.3">
      <c r="A21" s="33">
        <v>1210</v>
      </c>
      <c r="B21" s="81" t="s">
        <v>283</v>
      </c>
      <c r="C21" s="144">
        <f>ROUND(C20*23.59%,2)</f>
        <v>2086.5</v>
      </c>
    </row>
    <row r="22" spans="1:3" ht="16.5" thickBot="1" x14ac:dyDescent="0.3">
      <c r="A22" s="34"/>
      <c r="B22" s="39" t="s">
        <v>8</v>
      </c>
      <c r="C22" s="92">
        <f>C20+C21</f>
        <v>10931.355</v>
      </c>
    </row>
    <row r="23" spans="1:3" ht="16.5" thickBot="1" x14ac:dyDescent="0.3">
      <c r="A23" s="34"/>
      <c r="B23" s="33" t="s">
        <v>9</v>
      </c>
      <c r="C23" s="36" t="s">
        <v>4</v>
      </c>
    </row>
    <row r="24" spans="1:3" ht="16.5" thickBot="1" x14ac:dyDescent="0.3">
      <c r="A24" s="34"/>
      <c r="B24" s="39" t="s">
        <v>17</v>
      </c>
      <c r="C24" s="36">
        <f>ROUND((C22*10%),2)</f>
        <v>1093.1400000000001</v>
      </c>
    </row>
    <row r="25" spans="1:3" ht="16.5" thickBot="1" x14ac:dyDescent="0.3">
      <c r="A25" s="33"/>
      <c r="B25" s="45" t="s">
        <v>18</v>
      </c>
      <c r="C25" s="36">
        <f>ROUND((SUM(C22,C24)),2)</f>
        <v>12024.5</v>
      </c>
    </row>
    <row r="26" spans="1:3" ht="16.5" thickBot="1" x14ac:dyDescent="0.3">
      <c r="A26" s="252" t="s">
        <v>19</v>
      </c>
      <c r="B26" s="253"/>
      <c r="C26" s="89">
        <v>1</v>
      </c>
    </row>
    <row r="27" spans="1:3" ht="16.5" thickBot="1" x14ac:dyDescent="0.3">
      <c r="A27" s="252" t="s">
        <v>20</v>
      </c>
      <c r="B27" s="253"/>
      <c r="C27" s="47">
        <f>C25</f>
        <v>12024.5</v>
      </c>
    </row>
    <row r="28" spans="1:3" ht="16.5" thickBot="1" x14ac:dyDescent="0.3">
      <c r="A28" s="252" t="s">
        <v>21</v>
      </c>
      <c r="B28" s="253"/>
      <c r="C28" s="88">
        <v>1</v>
      </c>
    </row>
    <row r="29" spans="1:3" ht="16.5" thickBot="1" x14ac:dyDescent="0.3">
      <c r="A29" s="252" t="s">
        <v>22</v>
      </c>
      <c r="B29" s="253"/>
      <c r="C29" s="47">
        <f>C28*C27</f>
        <v>12024.5</v>
      </c>
    </row>
  </sheetData>
  <mergeCells count="4">
    <mergeCell ref="A26:B26"/>
    <mergeCell ref="A27:B27"/>
    <mergeCell ref="A28:B28"/>
    <mergeCell ref="A29:B29"/>
  </mergeCell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E313-06F8-47A5-9D28-ED2AF0486B1B}">
  <sheetPr>
    <tabColor theme="9" tint="0.79998168889431442"/>
  </sheetPr>
  <dimension ref="A1:C32"/>
  <sheetViews>
    <sheetView topLeftCell="A13" zoomScale="70" zoomScaleNormal="70" workbookViewId="0">
      <selection activeCell="B18" sqref="B18"/>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314</v>
      </c>
    </row>
    <row r="3" spans="1:3" ht="15.75" x14ac:dyDescent="0.25">
      <c r="A3" s="31"/>
      <c r="B3" s="49" t="s">
        <v>324</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323</v>
      </c>
      <c r="C11" s="36">
        <f>11.13*6</f>
        <v>66.78</v>
      </c>
    </row>
    <row r="12" spans="1:3" ht="16.5" thickBot="1" x14ac:dyDescent="0.3">
      <c r="A12" s="33"/>
      <c r="B12" s="143" t="s">
        <v>322</v>
      </c>
      <c r="C12" s="36"/>
    </row>
    <row r="13" spans="1:3" ht="63.75" thickBot="1" x14ac:dyDescent="0.3">
      <c r="A13" s="33">
        <v>1114</v>
      </c>
      <c r="B13" s="37" t="s">
        <v>326</v>
      </c>
      <c r="C13" s="36">
        <f>13.46*184</f>
        <v>2476.6400000000003</v>
      </c>
    </row>
    <row r="14" spans="1:3" ht="63.75" thickBot="1" x14ac:dyDescent="0.3">
      <c r="A14" s="33">
        <v>1114</v>
      </c>
      <c r="B14" s="37" t="s">
        <v>327</v>
      </c>
      <c r="C14" s="36">
        <f>13.46*500</f>
        <v>6730</v>
      </c>
    </row>
    <row r="15" spans="1:3" ht="63.75" thickBot="1" x14ac:dyDescent="0.3">
      <c r="A15" s="33">
        <v>1114</v>
      </c>
      <c r="B15" s="37" t="s">
        <v>328</v>
      </c>
      <c r="C15" s="36">
        <f t="shared" ref="C15:C17" si="0">13.46*500</f>
        <v>6730</v>
      </c>
    </row>
    <row r="16" spans="1:3" ht="63.75" thickBot="1" x14ac:dyDescent="0.3">
      <c r="A16" s="33">
        <v>1114</v>
      </c>
      <c r="B16" s="37" t="s">
        <v>329</v>
      </c>
      <c r="C16" s="36">
        <f t="shared" si="0"/>
        <v>6730</v>
      </c>
    </row>
    <row r="17" spans="1:3" ht="63.75" thickBot="1" x14ac:dyDescent="0.3">
      <c r="A17" s="33">
        <v>1114</v>
      </c>
      <c r="B17" s="37" t="s">
        <v>330</v>
      </c>
      <c r="C17" s="36">
        <f t="shared" si="0"/>
        <v>6730</v>
      </c>
    </row>
    <row r="18" spans="1:3" ht="63.75" thickBot="1" x14ac:dyDescent="0.3">
      <c r="A18" s="33">
        <v>1114</v>
      </c>
      <c r="B18" s="37" t="s">
        <v>331</v>
      </c>
      <c r="C18" s="36">
        <f>13.46*500</f>
        <v>6730</v>
      </c>
    </row>
    <row r="19" spans="1:3" ht="63.75" thickBot="1" x14ac:dyDescent="0.3">
      <c r="A19" s="33">
        <v>1114</v>
      </c>
      <c r="B19" s="37" t="s">
        <v>332</v>
      </c>
      <c r="C19" s="36">
        <f>13.46*500</f>
        <v>6730</v>
      </c>
    </row>
    <row r="20" spans="1:3" ht="63.75" thickBot="1" x14ac:dyDescent="0.3">
      <c r="A20" s="33">
        <v>1114</v>
      </c>
      <c r="B20" s="37" t="s">
        <v>333</v>
      </c>
      <c r="C20" s="36">
        <f>16.8*(200+248)</f>
        <v>7526.4000000000005</v>
      </c>
    </row>
    <row r="21" spans="1:3" ht="16.5" thickBot="1" x14ac:dyDescent="0.3">
      <c r="A21" s="33">
        <v>1114</v>
      </c>
      <c r="B21" s="145" t="s">
        <v>325</v>
      </c>
      <c r="C21" s="36">
        <f>13.46*900</f>
        <v>12114</v>
      </c>
    </row>
    <row r="22" spans="1:3" ht="16.5" thickBot="1" x14ac:dyDescent="0.3">
      <c r="A22" s="33"/>
      <c r="B22" s="37"/>
      <c r="C22" s="36"/>
    </row>
    <row r="23" spans="1:3" ht="16.5" thickBot="1" x14ac:dyDescent="0.3">
      <c r="A23" s="33">
        <v>1114</v>
      </c>
      <c r="B23" s="37" t="s">
        <v>282</v>
      </c>
      <c r="C23" s="105">
        <f>SUM(C11:C21)</f>
        <v>62563.82</v>
      </c>
    </row>
    <row r="24" spans="1:3" ht="16.5" thickBot="1" x14ac:dyDescent="0.3">
      <c r="A24" s="33">
        <v>1210</v>
      </c>
      <c r="B24" s="81" t="s">
        <v>283</v>
      </c>
      <c r="C24" s="144">
        <f>ROUND(C23*23.59%,2)</f>
        <v>14758.81</v>
      </c>
    </row>
    <row r="25" spans="1:3" ht="16.5" thickBot="1" x14ac:dyDescent="0.3">
      <c r="A25" s="34"/>
      <c r="B25" s="39" t="s">
        <v>8</v>
      </c>
      <c r="C25" s="92">
        <f>C23+C24</f>
        <v>77322.63</v>
      </c>
    </row>
    <row r="26" spans="1:3" ht="16.5" thickBot="1" x14ac:dyDescent="0.3">
      <c r="A26" s="34"/>
      <c r="B26" s="33" t="s">
        <v>9</v>
      </c>
      <c r="C26" s="36" t="s">
        <v>4</v>
      </c>
    </row>
    <row r="27" spans="1:3" ht="16.5" thickBot="1" x14ac:dyDescent="0.3">
      <c r="A27" s="34"/>
      <c r="B27" s="39" t="s">
        <v>17</v>
      </c>
      <c r="C27" s="36">
        <f>ROUND((C25*10%),2)</f>
        <v>7732.26</v>
      </c>
    </row>
    <row r="28" spans="1:3" ht="16.5" thickBot="1" x14ac:dyDescent="0.3">
      <c r="A28" s="33"/>
      <c r="B28" s="45" t="s">
        <v>18</v>
      </c>
      <c r="C28" s="36">
        <f>ROUND((SUM(C25,C27)),2)</f>
        <v>85054.89</v>
      </c>
    </row>
    <row r="29" spans="1:3" ht="16.5" thickBot="1" x14ac:dyDescent="0.3">
      <c r="A29" s="252" t="s">
        <v>19</v>
      </c>
      <c r="B29" s="253"/>
      <c r="C29" s="89">
        <v>1</v>
      </c>
    </row>
    <row r="30" spans="1:3" ht="16.5" thickBot="1" x14ac:dyDescent="0.3">
      <c r="A30" s="252" t="s">
        <v>20</v>
      </c>
      <c r="B30" s="253"/>
      <c r="C30" s="47">
        <f>C28</f>
        <v>85054.89</v>
      </c>
    </row>
    <row r="31" spans="1:3" ht="16.5" thickBot="1" x14ac:dyDescent="0.3">
      <c r="A31" s="252" t="s">
        <v>21</v>
      </c>
      <c r="B31" s="253"/>
      <c r="C31" s="88">
        <v>1</v>
      </c>
    </row>
    <row r="32" spans="1:3" ht="16.5" thickBot="1" x14ac:dyDescent="0.3">
      <c r="A32" s="252" t="s">
        <v>22</v>
      </c>
      <c r="B32" s="253"/>
      <c r="C32" s="47">
        <f>C31*C30</f>
        <v>85054.89</v>
      </c>
    </row>
  </sheetData>
  <mergeCells count="4">
    <mergeCell ref="A29:B29"/>
    <mergeCell ref="A30:B30"/>
    <mergeCell ref="A31:B31"/>
    <mergeCell ref="A32:B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A194-76AB-4086-AE47-5CD92CD70345}">
  <sheetPr>
    <tabColor theme="9" tint="0.79998168889431442"/>
  </sheetPr>
  <dimension ref="A1:C25"/>
  <sheetViews>
    <sheetView topLeftCell="A6" zoomScaleNormal="100" workbookViewId="0">
      <selection activeCell="E19" sqref="E18:E19"/>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6" customHeight="1" x14ac:dyDescent="0.25">
      <c r="A2" s="31" t="s">
        <v>68</v>
      </c>
      <c r="B2" s="252" t="s">
        <v>238</v>
      </c>
      <c r="C2" s="252"/>
    </row>
    <row r="3" spans="1:3" ht="15.75" x14ac:dyDescent="0.25">
      <c r="A3" s="31" t="s">
        <v>71</v>
      </c>
      <c r="B3" s="29" t="s">
        <v>187</v>
      </c>
      <c r="C3" s="30"/>
    </row>
    <row r="5" spans="1:3" ht="15.75" thickBot="1" x14ac:dyDescent="0.3"/>
    <row r="6" spans="1:3" ht="64.5" thickTop="1" thickBot="1" x14ac:dyDescent="0.3">
      <c r="A6" s="229" t="s">
        <v>0</v>
      </c>
      <c r="B6" s="229" t="s">
        <v>1</v>
      </c>
      <c r="C6" s="229" t="s">
        <v>2</v>
      </c>
    </row>
    <row r="7" spans="1:3" ht="17.25" thickTop="1" thickBot="1" x14ac:dyDescent="0.3">
      <c r="A7" s="229">
        <v>1</v>
      </c>
      <c r="B7" s="229">
        <v>2</v>
      </c>
      <c r="C7" s="229">
        <v>3</v>
      </c>
    </row>
    <row r="8" spans="1:3" ht="17.25" thickTop="1" thickBot="1" x14ac:dyDescent="0.3">
      <c r="A8" s="230"/>
      <c r="B8" s="229" t="s">
        <v>3</v>
      </c>
      <c r="C8" s="229" t="s">
        <v>4</v>
      </c>
    </row>
    <row r="9" spans="1:3" ht="80.25" thickTop="1" thickBot="1" x14ac:dyDescent="0.3">
      <c r="A9" s="231">
        <v>1100</v>
      </c>
      <c r="B9" s="232" t="s">
        <v>685</v>
      </c>
      <c r="C9" s="233">
        <f>ROUND((12.97*1),2)</f>
        <v>12.97</v>
      </c>
    </row>
    <row r="10" spans="1:3" ht="80.25" thickTop="1" thickBot="1" x14ac:dyDescent="0.3">
      <c r="A10" s="229">
        <v>1100</v>
      </c>
      <c r="B10" s="232" t="s">
        <v>686</v>
      </c>
      <c r="C10" s="233">
        <f>24.37*0.4</f>
        <v>9.7480000000000011</v>
      </c>
    </row>
    <row r="11" spans="1:3" ht="17.25" thickTop="1" thickBot="1" x14ac:dyDescent="0.3">
      <c r="A11" s="230"/>
      <c r="B11" s="234" t="s">
        <v>8</v>
      </c>
      <c r="C11" s="235">
        <f>SUM(C9:C10)</f>
        <v>22.718000000000004</v>
      </c>
    </row>
    <row r="12" spans="1:3" ht="17.25" thickTop="1" thickBot="1" x14ac:dyDescent="0.3">
      <c r="A12" s="230"/>
      <c r="B12" s="229" t="s">
        <v>9</v>
      </c>
      <c r="C12" s="229" t="s">
        <v>4</v>
      </c>
    </row>
    <row r="13" spans="1:3" ht="17.25" thickTop="1" thickBot="1" x14ac:dyDescent="0.3">
      <c r="A13" s="229">
        <v>1100</v>
      </c>
      <c r="B13" s="236" t="s">
        <v>10</v>
      </c>
      <c r="C13" s="233">
        <v>0.31</v>
      </c>
    </row>
    <row r="14" spans="1:3" ht="17.25" thickTop="1" thickBot="1" x14ac:dyDescent="0.3">
      <c r="A14" s="237">
        <v>2210</v>
      </c>
      <c r="B14" s="238" t="s">
        <v>11</v>
      </c>
      <c r="C14" s="235">
        <v>0.1</v>
      </c>
    </row>
    <row r="15" spans="1:3" ht="17.25" thickTop="1" thickBot="1" x14ac:dyDescent="0.3">
      <c r="A15" s="237">
        <v>2220</v>
      </c>
      <c r="B15" s="238" t="s">
        <v>12</v>
      </c>
      <c r="C15" s="233">
        <v>0.4</v>
      </c>
    </row>
    <row r="16" spans="1:3" ht="17.25" thickTop="1" thickBot="1" x14ac:dyDescent="0.3">
      <c r="A16" s="237">
        <v>2240</v>
      </c>
      <c r="B16" s="238" t="s">
        <v>56</v>
      </c>
      <c r="C16" s="233">
        <v>1.07</v>
      </c>
    </row>
    <row r="17" spans="1:3" ht="17.25" thickTop="1" thickBot="1" x14ac:dyDescent="0.3">
      <c r="A17" s="237">
        <v>2310</v>
      </c>
      <c r="B17" s="238" t="s">
        <v>15</v>
      </c>
      <c r="C17" s="233">
        <v>0.2</v>
      </c>
    </row>
    <row r="18" spans="1:3" ht="17.25" thickTop="1" thickBot="1" x14ac:dyDescent="0.3">
      <c r="A18" s="239">
        <v>5200</v>
      </c>
      <c r="B18" s="240" t="s">
        <v>201</v>
      </c>
      <c r="C18" s="233">
        <v>0.2</v>
      </c>
    </row>
    <row r="19" spans="1:3" ht="17.25" thickTop="1" thickBot="1" x14ac:dyDescent="0.3">
      <c r="A19" s="230"/>
      <c r="B19" s="234" t="s">
        <v>17</v>
      </c>
      <c r="C19" s="233">
        <f>SUM(C13:C18)</f>
        <v>2.2800000000000002</v>
      </c>
    </row>
    <row r="20" spans="1:3" ht="17.25" thickTop="1" thickBot="1" x14ac:dyDescent="0.3">
      <c r="A20" s="229"/>
      <c r="B20" s="241" t="s">
        <v>18</v>
      </c>
      <c r="C20" s="233">
        <f>ROUND((SUM(C11,C19)),2)</f>
        <v>25</v>
      </c>
    </row>
    <row r="21" spans="1:3" ht="17.25" thickTop="1" thickBot="1" x14ac:dyDescent="0.3">
      <c r="A21" s="260" t="s">
        <v>19</v>
      </c>
      <c r="B21" s="260"/>
      <c r="C21" s="239">
        <v>1</v>
      </c>
    </row>
    <row r="22" spans="1:3" ht="17.25" thickTop="1" thickBot="1" x14ac:dyDescent="0.3">
      <c r="A22" s="260" t="s">
        <v>20</v>
      </c>
      <c r="B22" s="260"/>
      <c r="C22" s="235">
        <f>C20</f>
        <v>25</v>
      </c>
    </row>
    <row r="23" spans="1:3" ht="17.25" thickTop="1" thickBot="1" x14ac:dyDescent="0.3">
      <c r="A23" s="260" t="s">
        <v>21</v>
      </c>
      <c r="B23" s="260"/>
      <c r="C23" s="239">
        <v>1</v>
      </c>
    </row>
    <row r="24" spans="1:3" ht="17.25" thickTop="1" thickBot="1" x14ac:dyDescent="0.3">
      <c r="A24" s="260" t="s">
        <v>22</v>
      </c>
      <c r="B24" s="260"/>
      <c r="C24" s="235">
        <f>C23*C22</f>
        <v>25</v>
      </c>
    </row>
    <row r="25" spans="1:3" ht="15.75" thickTop="1" x14ac:dyDescent="0.25"/>
  </sheetData>
  <mergeCells count="5">
    <mergeCell ref="B2:C2"/>
    <mergeCell ref="A21:B21"/>
    <mergeCell ref="A22:B22"/>
    <mergeCell ref="A23:B23"/>
    <mergeCell ref="A24:B24"/>
  </mergeCell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999EC-0FB6-48DB-A038-85BAE948008D}">
  <sheetPr>
    <tabColor theme="9" tint="0.79998168889431442"/>
  </sheetPr>
  <dimension ref="A1:C28"/>
  <sheetViews>
    <sheetView topLeftCell="A8"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314</v>
      </c>
    </row>
    <row r="3" spans="1:3" ht="15.75" x14ac:dyDescent="0.25">
      <c r="A3" s="31"/>
      <c r="B3" s="49" t="s">
        <v>334</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335</v>
      </c>
      <c r="C10" s="33"/>
    </row>
    <row r="11" spans="1:3" ht="63.75" thickBot="1" x14ac:dyDescent="0.3">
      <c r="A11" s="33">
        <v>1114</v>
      </c>
      <c r="B11" s="37" t="s">
        <v>336</v>
      </c>
      <c r="C11" s="36">
        <f>13.46*240</f>
        <v>3230.4</v>
      </c>
    </row>
    <row r="12" spans="1:3" ht="63.75" thickBot="1" x14ac:dyDescent="0.3">
      <c r="A12" s="33">
        <v>1114</v>
      </c>
      <c r="B12" s="37" t="s">
        <v>337</v>
      </c>
      <c r="C12" s="36">
        <f t="shared" ref="C12:C16" si="0">13.46*240</f>
        <v>3230.4</v>
      </c>
    </row>
    <row r="13" spans="1:3" ht="63.75" thickBot="1" x14ac:dyDescent="0.3">
      <c r="A13" s="33">
        <v>1114</v>
      </c>
      <c r="B13" s="37" t="s">
        <v>338</v>
      </c>
      <c r="C13" s="36">
        <f t="shared" si="0"/>
        <v>3230.4</v>
      </c>
    </row>
    <row r="14" spans="1:3" ht="63.75" thickBot="1" x14ac:dyDescent="0.3">
      <c r="A14" s="33">
        <v>1114</v>
      </c>
      <c r="B14" s="37" t="s">
        <v>339</v>
      </c>
      <c r="C14" s="36">
        <f t="shared" si="0"/>
        <v>3230.4</v>
      </c>
    </row>
    <row r="15" spans="1:3" ht="63.75" thickBot="1" x14ac:dyDescent="0.3">
      <c r="A15" s="33">
        <v>1114</v>
      </c>
      <c r="B15" s="37" t="s">
        <v>340</v>
      </c>
      <c r="C15" s="36">
        <f t="shared" si="0"/>
        <v>3230.4</v>
      </c>
    </row>
    <row r="16" spans="1:3" ht="63.75" thickBot="1" x14ac:dyDescent="0.3">
      <c r="A16" s="33">
        <v>1114</v>
      </c>
      <c r="B16" s="37" t="s">
        <v>341</v>
      </c>
      <c r="C16" s="36">
        <f t="shared" si="0"/>
        <v>3230.4</v>
      </c>
    </row>
    <row r="17" spans="1:3" ht="63.75" thickBot="1" x14ac:dyDescent="0.3">
      <c r="A17" s="33">
        <v>1114</v>
      </c>
      <c r="B17" s="37" t="s">
        <v>342</v>
      </c>
      <c r="C17" s="36">
        <f>16.8*73</f>
        <v>1226.4000000000001</v>
      </c>
    </row>
    <row r="18" spans="1:3" ht="16.5" thickBot="1" x14ac:dyDescent="0.3">
      <c r="A18" s="33"/>
      <c r="B18" s="37"/>
      <c r="C18" s="36"/>
    </row>
    <row r="19" spans="1:3" ht="16.5" thickBot="1" x14ac:dyDescent="0.3">
      <c r="A19" s="33">
        <v>1114</v>
      </c>
      <c r="B19" s="37" t="s">
        <v>282</v>
      </c>
      <c r="C19" s="105">
        <f>SUM(C11:C17)</f>
        <v>20608.800000000003</v>
      </c>
    </row>
    <row r="20" spans="1:3" ht="16.5" thickBot="1" x14ac:dyDescent="0.3">
      <c r="A20" s="33">
        <v>1210</v>
      </c>
      <c r="B20" s="81" t="s">
        <v>283</v>
      </c>
      <c r="C20" s="144">
        <f>ROUND(C19*23.59%,2)</f>
        <v>4861.62</v>
      </c>
    </row>
    <row r="21" spans="1:3" ht="16.5" thickBot="1" x14ac:dyDescent="0.3">
      <c r="A21" s="34"/>
      <c r="B21" s="39" t="s">
        <v>8</v>
      </c>
      <c r="C21" s="92">
        <f>C19+C20</f>
        <v>25470.420000000002</v>
      </c>
    </row>
    <row r="22" spans="1:3" ht="16.5" thickBot="1" x14ac:dyDescent="0.3">
      <c r="A22" s="34"/>
      <c r="B22" s="33" t="s">
        <v>9</v>
      </c>
      <c r="C22" s="36" t="s">
        <v>4</v>
      </c>
    </row>
    <row r="23" spans="1:3" ht="16.5" thickBot="1" x14ac:dyDescent="0.3">
      <c r="A23" s="34"/>
      <c r="B23" s="39" t="s">
        <v>17</v>
      </c>
      <c r="C23" s="36">
        <f>ROUND((C21*10%),2)</f>
        <v>2547.04</v>
      </c>
    </row>
    <row r="24" spans="1:3" ht="16.5" thickBot="1" x14ac:dyDescent="0.3">
      <c r="A24" s="33"/>
      <c r="B24" s="45" t="s">
        <v>18</v>
      </c>
      <c r="C24" s="36">
        <f>ROUND((SUM(C21,C23)),2)</f>
        <v>28017.46</v>
      </c>
    </row>
    <row r="25" spans="1:3" ht="16.5" thickBot="1" x14ac:dyDescent="0.3">
      <c r="A25" s="252" t="s">
        <v>19</v>
      </c>
      <c r="B25" s="253"/>
      <c r="C25" s="89">
        <v>1</v>
      </c>
    </row>
    <row r="26" spans="1:3" ht="16.5" thickBot="1" x14ac:dyDescent="0.3">
      <c r="A26" s="252" t="s">
        <v>20</v>
      </c>
      <c r="B26" s="253"/>
      <c r="C26" s="47">
        <f>C24</f>
        <v>28017.46</v>
      </c>
    </row>
    <row r="27" spans="1:3" ht="16.5" thickBot="1" x14ac:dyDescent="0.3">
      <c r="A27" s="252" t="s">
        <v>21</v>
      </c>
      <c r="B27" s="253"/>
      <c r="C27" s="88">
        <v>1</v>
      </c>
    </row>
    <row r="28" spans="1:3" ht="16.5" thickBot="1" x14ac:dyDescent="0.3">
      <c r="A28" s="252" t="s">
        <v>22</v>
      </c>
      <c r="B28" s="253"/>
      <c r="C28" s="47">
        <f>C27*C26</f>
        <v>28017.46</v>
      </c>
    </row>
  </sheetData>
  <mergeCells count="4">
    <mergeCell ref="A25:B25"/>
    <mergeCell ref="A26:B26"/>
    <mergeCell ref="A27:B27"/>
    <mergeCell ref="A28:B28"/>
  </mergeCell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5A3E-A964-4ECB-8D6A-A3889EB2B99A}">
  <sheetPr>
    <tabColor theme="9" tint="0.79998168889431442"/>
  </sheetPr>
  <dimension ref="A1:C29"/>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31.5" customHeight="1" x14ac:dyDescent="0.25">
      <c r="A3" s="31"/>
      <c r="B3" s="49" t="s">
        <v>360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348</v>
      </c>
      <c r="C11" s="36">
        <f>11.13*16</f>
        <v>178.08</v>
      </c>
    </row>
    <row r="12" spans="1:3" ht="63.75" thickBot="1" x14ac:dyDescent="0.3">
      <c r="A12" s="33">
        <v>1114</v>
      </c>
      <c r="B12" s="37" t="s">
        <v>354</v>
      </c>
      <c r="C12" s="36">
        <f>13.46*34</f>
        <v>457.64000000000004</v>
      </c>
    </row>
    <row r="13" spans="1:3" ht="63.75" thickBot="1" x14ac:dyDescent="0.3">
      <c r="A13" s="33">
        <v>1114</v>
      </c>
      <c r="B13" s="37" t="s">
        <v>349</v>
      </c>
      <c r="C13" s="36">
        <f>13.46*34</f>
        <v>457.64000000000004</v>
      </c>
    </row>
    <row r="14" spans="1:3" ht="63.75" thickBot="1" x14ac:dyDescent="0.3">
      <c r="A14" s="33">
        <v>1114</v>
      </c>
      <c r="B14" s="37" t="s">
        <v>350</v>
      </c>
      <c r="C14" s="36">
        <f t="shared" ref="C14:C17" si="0">13.46*34</f>
        <v>457.64000000000004</v>
      </c>
    </row>
    <row r="15" spans="1:3" ht="63.75" thickBot="1" x14ac:dyDescent="0.3">
      <c r="A15" s="33">
        <v>1114</v>
      </c>
      <c r="B15" s="37" t="s">
        <v>351</v>
      </c>
      <c r="C15" s="36">
        <f t="shared" si="0"/>
        <v>457.64000000000004</v>
      </c>
    </row>
    <row r="16" spans="1:3" ht="63.75" thickBot="1" x14ac:dyDescent="0.3">
      <c r="A16" s="33">
        <v>1114</v>
      </c>
      <c r="B16" s="37" t="s">
        <v>352</v>
      </c>
      <c r="C16" s="36">
        <f t="shared" si="0"/>
        <v>457.64000000000004</v>
      </c>
    </row>
    <row r="17" spans="1:3" ht="63.75" thickBot="1" x14ac:dyDescent="0.3">
      <c r="A17" s="33">
        <v>1114</v>
      </c>
      <c r="B17" s="37" t="s">
        <v>353</v>
      </c>
      <c r="C17" s="36">
        <f t="shared" si="0"/>
        <v>457.64000000000004</v>
      </c>
    </row>
    <row r="18" spans="1:3" ht="63.75" thickBot="1" x14ac:dyDescent="0.3">
      <c r="A18" s="33">
        <v>1114</v>
      </c>
      <c r="B18" s="37" t="s">
        <v>347</v>
      </c>
      <c r="C18" s="36">
        <f>16.8*45</f>
        <v>756</v>
      </c>
    </row>
    <row r="19" spans="1:3" ht="16.5" thickBot="1" x14ac:dyDescent="0.3">
      <c r="A19" s="33"/>
      <c r="B19" s="37"/>
      <c r="C19" s="36"/>
    </row>
    <row r="20" spans="1:3" ht="16.5" thickBot="1" x14ac:dyDescent="0.3">
      <c r="A20" s="33">
        <v>1114</v>
      </c>
      <c r="B20" s="37" t="s">
        <v>282</v>
      </c>
      <c r="C20" s="105">
        <f>SUM(C11:C18)</f>
        <v>3679.92</v>
      </c>
    </row>
    <row r="21" spans="1:3" ht="16.5" thickBot="1" x14ac:dyDescent="0.3">
      <c r="A21" s="33">
        <v>1210</v>
      </c>
      <c r="B21" s="81" t="s">
        <v>283</v>
      </c>
      <c r="C21" s="144">
        <f>ROUND(C20*23.59%,2)</f>
        <v>868.09</v>
      </c>
    </row>
    <row r="22" spans="1:3" ht="16.5" thickBot="1" x14ac:dyDescent="0.3">
      <c r="A22" s="34"/>
      <c r="B22" s="39" t="s">
        <v>8</v>
      </c>
      <c r="C22" s="92">
        <f>C20+C21</f>
        <v>4548.01</v>
      </c>
    </row>
    <row r="23" spans="1:3" ht="16.5" thickBot="1" x14ac:dyDescent="0.3">
      <c r="A23" s="34"/>
      <c r="B23" s="33" t="s">
        <v>9</v>
      </c>
      <c r="C23" s="36" t="s">
        <v>4</v>
      </c>
    </row>
    <row r="24" spans="1:3" ht="16.5" thickBot="1" x14ac:dyDescent="0.3">
      <c r="A24" s="34"/>
      <c r="B24" s="39" t="s">
        <v>17</v>
      </c>
      <c r="C24" s="36">
        <f>ROUND((C22*10%),2)</f>
        <v>454.8</v>
      </c>
    </row>
    <row r="25" spans="1:3" ht="16.5" thickBot="1" x14ac:dyDescent="0.3">
      <c r="A25" s="33"/>
      <c r="B25" s="45" t="s">
        <v>18</v>
      </c>
      <c r="C25" s="36">
        <f>ROUND((SUM(C22,C24)),2)</f>
        <v>5002.8100000000004</v>
      </c>
    </row>
    <row r="26" spans="1:3" ht="16.5" thickBot="1" x14ac:dyDescent="0.3">
      <c r="A26" s="252" t="s">
        <v>19</v>
      </c>
      <c r="B26" s="253"/>
      <c r="C26" s="89">
        <v>1</v>
      </c>
    </row>
    <row r="27" spans="1:3" ht="16.5" thickBot="1" x14ac:dyDescent="0.3">
      <c r="A27" s="252" t="s">
        <v>20</v>
      </c>
      <c r="B27" s="253"/>
      <c r="C27" s="47">
        <f>C25</f>
        <v>5002.8100000000004</v>
      </c>
    </row>
    <row r="28" spans="1:3" ht="16.5" thickBot="1" x14ac:dyDescent="0.3">
      <c r="A28" s="252" t="s">
        <v>21</v>
      </c>
      <c r="B28" s="253"/>
      <c r="C28" s="88">
        <v>1</v>
      </c>
    </row>
    <row r="29" spans="1:3" ht="16.5" thickBot="1" x14ac:dyDescent="0.3">
      <c r="A29" s="252" t="s">
        <v>22</v>
      </c>
      <c r="B29" s="253"/>
      <c r="C29" s="47">
        <f>C28*C27</f>
        <v>5002.8100000000004</v>
      </c>
    </row>
  </sheetData>
  <mergeCells count="4">
    <mergeCell ref="A26:B26"/>
    <mergeCell ref="A27:B27"/>
    <mergeCell ref="A28:B28"/>
    <mergeCell ref="A29:B29"/>
  </mergeCell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4EFD-56F6-4F95-B29D-7D4F381E50DE}">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361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357</v>
      </c>
      <c r="C13" s="36">
        <f>13.46*160</f>
        <v>2153.6000000000004</v>
      </c>
    </row>
    <row r="14" spans="1:3" ht="63.75" thickBot="1" x14ac:dyDescent="0.3">
      <c r="A14" s="33">
        <v>1114</v>
      </c>
      <c r="B14" s="37" t="s">
        <v>312</v>
      </c>
      <c r="C14" s="36">
        <f>16.8*2</f>
        <v>33.6</v>
      </c>
    </row>
    <row r="15" spans="1:3" ht="16.5" thickBot="1" x14ac:dyDescent="0.3">
      <c r="A15" s="33"/>
      <c r="B15" s="37"/>
      <c r="C15" s="36"/>
    </row>
    <row r="16" spans="1:3" ht="16.5" thickBot="1" x14ac:dyDescent="0.3">
      <c r="A16" s="33">
        <v>1114</v>
      </c>
      <c r="B16" s="37" t="s">
        <v>282</v>
      </c>
      <c r="C16" s="105">
        <f>SUM(C11:C14)</f>
        <v>2209.4600000000005</v>
      </c>
    </row>
    <row r="17" spans="1:3" ht="16.5" thickBot="1" x14ac:dyDescent="0.3">
      <c r="A17" s="33">
        <v>1210</v>
      </c>
      <c r="B17" s="81" t="s">
        <v>283</v>
      </c>
      <c r="C17" s="144">
        <f>ROUND(C16*23.59%,2)</f>
        <v>521.21</v>
      </c>
    </row>
    <row r="18" spans="1:3" ht="16.5" thickBot="1" x14ac:dyDescent="0.3">
      <c r="A18" s="34"/>
      <c r="B18" s="39" t="s">
        <v>8</v>
      </c>
      <c r="C18" s="92">
        <f>C16+C17</f>
        <v>2730.6700000000005</v>
      </c>
    </row>
    <row r="19" spans="1:3" ht="16.5" thickBot="1" x14ac:dyDescent="0.3">
      <c r="A19" s="34"/>
      <c r="B19" s="33" t="s">
        <v>9</v>
      </c>
      <c r="C19" s="36" t="s">
        <v>4</v>
      </c>
    </row>
    <row r="20" spans="1:3" ht="16.5" thickBot="1" x14ac:dyDescent="0.3">
      <c r="A20" s="34"/>
      <c r="B20" s="39" t="s">
        <v>17</v>
      </c>
      <c r="C20" s="36">
        <f>ROUND((C18*10%),2)</f>
        <v>273.07</v>
      </c>
    </row>
    <row r="21" spans="1:3" ht="16.5" thickBot="1" x14ac:dyDescent="0.3">
      <c r="A21" s="33"/>
      <c r="B21" s="45" t="s">
        <v>18</v>
      </c>
      <c r="C21" s="36">
        <f>ROUND((SUM(C18,C20)),2)</f>
        <v>3003.74</v>
      </c>
    </row>
    <row r="22" spans="1:3" ht="16.5" thickBot="1" x14ac:dyDescent="0.3">
      <c r="A22" s="252" t="s">
        <v>19</v>
      </c>
      <c r="B22" s="253"/>
      <c r="C22" s="89">
        <v>1</v>
      </c>
    </row>
    <row r="23" spans="1:3" ht="16.5" thickBot="1" x14ac:dyDescent="0.3">
      <c r="A23" s="252" t="s">
        <v>20</v>
      </c>
      <c r="B23" s="253"/>
      <c r="C23" s="47">
        <f>C21</f>
        <v>3003.74</v>
      </c>
    </row>
    <row r="24" spans="1:3" ht="16.5" thickBot="1" x14ac:dyDescent="0.3">
      <c r="A24" s="252" t="s">
        <v>21</v>
      </c>
      <c r="B24" s="253"/>
      <c r="C24" s="88">
        <v>1</v>
      </c>
    </row>
    <row r="25" spans="1:3" ht="16.5" thickBot="1" x14ac:dyDescent="0.3">
      <c r="A25" s="252" t="s">
        <v>22</v>
      </c>
      <c r="B25" s="253"/>
      <c r="C25" s="47">
        <f>C24*C23</f>
        <v>3003.74</v>
      </c>
    </row>
  </sheetData>
  <mergeCells count="4">
    <mergeCell ref="A22:B22"/>
    <mergeCell ref="A23:B23"/>
    <mergeCell ref="A24:B24"/>
    <mergeCell ref="A25:B25"/>
  </mergeCell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C8E48-C429-424C-B2DD-716FCBB7A977}">
  <sheetPr>
    <tabColor theme="9" tint="0.79998168889431442"/>
  </sheetPr>
  <dimension ref="A1:C24"/>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customHeight="1" x14ac:dyDescent="0.25">
      <c r="A2" s="31" t="s">
        <v>68</v>
      </c>
      <c r="B2" s="49" t="s">
        <v>355</v>
      </c>
    </row>
    <row r="3" spans="1:3" ht="15.75" x14ac:dyDescent="0.25">
      <c r="A3" s="31"/>
      <c r="B3" s="49" t="s">
        <v>362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358</v>
      </c>
      <c r="C13" s="36">
        <f>16.8*130</f>
        <v>2184</v>
      </c>
    </row>
    <row r="14" spans="1:3" ht="16.5" thickBot="1" x14ac:dyDescent="0.3">
      <c r="A14" s="33"/>
      <c r="B14" s="37"/>
      <c r="C14" s="36"/>
    </row>
    <row r="15" spans="1:3" ht="16.5" thickBot="1" x14ac:dyDescent="0.3">
      <c r="A15" s="33">
        <v>1114</v>
      </c>
      <c r="B15" s="37" t="s">
        <v>282</v>
      </c>
      <c r="C15" s="105">
        <f>SUM(C11:C13)</f>
        <v>2206.2600000000002</v>
      </c>
    </row>
    <row r="16" spans="1:3" ht="16.5" thickBot="1" x14ac:dyDescent="0.3">
      <c r="A16" s="33">
        <v>1210</v>
      </c>
      <c r="B16" s="81" t="s">
        <v>283</v>
      </c>
      <c r="C16" s="144">
        <f>ROUND(C15*23.59%,2)</f>
        <v>520.46</v>
      </c>
    </row>
    <row r="17" spans="1:3" ht="16.5" thickBot="1" x14ac:dyDescent="0.3">
      <c r="A17" s="34"/>
      <c r="B17" s="39" t="s">
        <v>8</v>
      </c>
      <c r="C17" s="92">
        <f>C15+C16</f>
        <v>2726.7200000000003</v>
      </c>
    </row>
    <row r="18" spans="1:3" ht="16.5" thickBot="1" x14ac:dyDescent="0.3">
      <c r="A18" s="34"/>
      <c r="B18" s="33" t="s">
        <v>9</v>
      </c>
      <c r="C18" s="36" t="s">
        <v>4</v>
      </c>
    </row>
    <row r="19" spans="1:3" ht="16.5" thickBot="1" x14ac:dyDescent="0.3">
      <c r="A19" s="34"/>
      <c r="B19" s="39" t="s">
        <v>17</v>
      </c>
      <c r="C19" s="36">
        <f>ROUND((C17*10%),2)</f>
        <v>272.67</v>
      </c>
    </row>
    <row r="20" spans="1:3" ht="16.5" thickBot="1" x14ac:dyDescent="0.3">
      <c r="A20" s="33"/>
      <c r="B20" s="45" t="s">
        <v>18</v>
      </c>
      <c r="C20" s="36">
        <f>ROUND((SUM(C17,C19)),2)</f>
        <v>2999.39</v>
      </c>
    </row>
    <row r="21" spans="1:3" ht="16.5" thickBot="1" x14ac:dyDescent="0.3">
      <c r="A21" s="252" t="s">
        <v>19</v>
      </c>
      <c r="B21" s="253"/>
      <c r="C21" s="89">
        <v>1</v>
      </c>
    </row>
    <row r="22" spans="1:3" ht="16.5" thickBot="1" x14ac:dyDescent="0.3">
      <c r="A22" s="252" t="s">
        <v>20</v>
      </c>
      <c r="B22" s="253"/>
      <c r="C22" s="47">
        <f>C20</f>
        <v>2999.39</v>
      </c>
    </row>
    <row r="23" spans="1:3" ht="16.5" thickBot="1" x14ac:dyDescent="0.3">
      <c r="A23" s="252" t="s">
        <v>21</v>
      </c>
      <c r="B23" s="253"/>
      <c r="C23" s="88">
        <v>1</v>
      </c>
    </row>
    <row r="24" spans="1:3" ht="16.5" thickBot="1" x14ac:dyDescent="0.3">
      <c r="A24" s="252" t="s">
        <v>22</v>
      </c>
      <c r="B24" s="253"/>
      <c r="C24" s="47">
        <f>C23*C22</f>
        <v>2999.39</v>
      </c>
    </row>
  </sheetData>
  <mergeCells count="4">
    <mergeCell ref="A21:B21"/>
    <mergeCell ref="A22:B22"/>
    <mergeCell ref="A23:B23"/>
    <mergeCell ref="A24:B24"/>
  </mergeCell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3CD6-38EE-48BA-8946-FAB0A34A9D02}">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359</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364</v>
      </c>
      <c r="C13" s="36">
        <f>13.46*120</f>
        <v>1615.2</v>
      </c>
    </row>
    <row r="14" spans="1:3" ht="63.75" thickBot="1" x14ac:dyDescent="0.3">
      <c r="A14" s="33">
        <v>1114</v>
      </c>
      <c r="B14" s="37" t="s">
        <v>363</v>
      </c>
      <c r="C14" s="36">
        <f>13.46*480</f>
        <v>6460.8</v>
      </c>
    </row>
    <row r="15" spans="1:3" ht="16.5" thickBot="1" x14ac:dyDescent="0.3">
      <c r="A15" s="33"/>
      <c r="B15" s="37"/>
      <c r="C15" s="36"/>
    </row>
    <row r="16" spans="1:3" ht="16.5" thickBot="1" x14ac:dyDescent="0.3">
      <c r="A16" s="33">
        <v>1114</v>
      </c>
      <c r="B16" s="37" t="s">
        <v>282</v>
      </c>
      <c r="C16" s="105">
        <f>SUM(C11:C14)</f>
        <v>8098.26</v>
      </c>
    </row>
    <row r="17" spans="1:3" ht="16.5" thickBot="1" x14ac:dyDescent="0.3">
      <c r="A17" s="33">
        <v>1210</v>
      </c>
      <c r="B17" s="81" t="s">
        <v>283</v>
      </c>
      <c r="C17" s="144">
        <f>ROUND(C16*23.59%,2)</f>
        <v>1910.38</v>
      </c>
    </row>
    <row r="18" spans="1:3" ht="16.5" thickBot="1" x14ac:dyDescent="0.3">
      <c r="A18" s="34"/>
      <c r="B18" s="39" t="s">
        <v>8</v>
      </c>
      <c r="C18" s="92">
        <f>C16+C17</f>
        <v>10008.64</v>
      </c>
    </row>
    <row r="19" spans="1:3" ht="16.5" thickBot="1" x14ac:dyDescent="0.3">
      <c r="A19" s="34"/>
      <c r="B19" s="33" t="s">
        <v>9</v>
      </c>
      <c r="C19" s="36" t="s">
        <v>4</v>
      </c>
    </row>
    <row r="20" spans="1:3" ht="16.5" thickBot="1" x14ac:dyDescent="0.3">
      <c r="A20" s="34"/>
      <c r="B20" s="39" t="s">
        <v>17</v>
      </c>
      <c r="C20" s="36">
        <f>ROUND((C18*10%),2)</f>
        <v>1000.86</v>
      </c>
    </row>
    <row r="21" spans="1:3" ht="16.5" thickBot="1" x14ac:dyDescent="0.3">
      <c r="A21" s="33"/>
      <c r="B21" s="45" t="s">
        <v>18</v>
      </c>
      <c r="C21" s="36">
        <f>ROUND((SUM(C18,C20)),2)</f>
        <v>11009.5</v>
      </c>
    </row>
    <row r="22" spans="1:3" ht="16.5" thickBot="1" x14ac:dyDescent="0.3">
      <c r="A22" s="252" t="s">
        <v>19</v>
      </c>
      <c r="B22" s="253"/>
      <c r="C22" s="89">
        <v>1</v>
      </c>
    </row>
    <row r="23" spans="1:3" ht="16.5" thickBot="1" x14ac:dyDescent="0.3">
      <c r="A23" s="252" t="s">
        <v>20</v>
      </c>
      <c r="B23" s="253"/>
      <c r="C23" s="47">
        <f>C21</f>
        <v>11009.5</v>
      </c>
    </row>
    <row r="24" spans="1:3" ht="16.5" thickBot="1" x14ac:dyDescent="0.3">
      <c r="A24" s="252" t="s">
        <v>21</v>
      </c>
      <c r="B24" s="253"/>
      <c r="C24" s="88">
        <v>1</v>
      </c>
    </row>
    <row r="25" spans="1:3" ht="16.5" thickBot="1" x14ac:dyDescent="0.3">
      <c r="A25" s="252" t="s">
        <v>22</v>
      </c>
      <c r="B25" s="253"/>
      <c r="C25" s="47">
        <f>C24*C23</f>
        <v>11009.5</v>
      </c>
    </row>
  </sheetData>
  <mergeCells count="4">
    <mergeCell ref="A22:B22"/>
    <mergeCell ref="A23:B23"/>
    <mergeCell ref="A24:B24"/>
    <mergeCell ref="A25:B25"/>
  </mergeCell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8AC0-8770-4045-A6F2-5415DFBFDC24}">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365</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364</v>
      </c>
      <c r="C13" s="36">
        <f>13.46*120</f>
        <v>1615.2</v>
      </c>
    </row>
    <row r="14" spans="1:3" ht="63.75" thickBot="1" x14ac:dyDescent="0.3">
      <c r="A14" s="33">
        <v>1114</v>
      </c>
      <c r="B14" s="37" t="s">
        <v>366</v>
      </c>
      <c r="C14" s="36">
        <f>13.46*480</f>
        <v>6460.8</v>
      </c>
    </row>
    <row r="15" spans="1:3" ht="16.5" thickBot="1" x14ac:dyDescent="0.3">
      <c r="A15" s="33"/>
      <c r="B15" s="37"/>
      <c r="C15" s="36"/>
    </row>
    <row r="16" spans="1:3" ht="16.5" thickBot="1" x14ac:dyDescent="0.3">
      <c r="A16" s="33">
        <v>1114</v>
      </c>
      <c r="B16" s="37" t="s">
        <v>282</v>
      </c>
      <c r="C16" s="105">
        <f>SUM(C11:C14)</f>
        <v>8098.26</v>
      </c>
    </row>
    <row r="17" spans="1:3" ht="16.5" thickBot="1" x14ac:dyDescent="0.3">
      <c r="A17" s="33">
        <v>1210</v>
      </c>
      <c r="B17" s="81" t="s">
        <v>283</v>
      </c>
      <c r="C17" s="144">
        <f>ROUND(C16*23.59%,2)</f>
        <v>1910.38</v>
      </c>
    </row>
    <row r="18" spans="1:3" ht="16.5" thickBot="1" x14ac:dyDescent="0.3">
      <c r="A18" s="34"/>
      <c r="B18" s="39" t="s">
        <v>8</v>
      </c>
      <c r="C18" s="92">
        <f>C16+C17</f>
        <v>10008.64</v>
      </c>
    </row>
    <row r="19" spans="1:3" ht="16.5" thickBot="1" x14ac:dyDescent="0.3">
      <c r="A19" s="34"/>
      <c r="B19" s="33" t="s">
        <v>9</v>
      </c>
      <c r="C19" s="36" t="s">
        <v>4</v>
      </c>
    </row>
    <row r="20" spans="1:3" ht="16.5" thickBot="1" x14ac:dyDescent="0.3">
      <c r="A20" s="34"/>
      <c r="B20" s="39" t="s">
        <v>17</v>
      </c>
      <c r="C20" s="36">
        <f>ROUND((C18*10%),2)</f>
        <v>1000.86</v>
      </c>
    </row>
    <row r="21" spans="1:3" ht="16.5" thickBot="1" x14ac:dyDescent="0.3">
      <c r="A21" s="33"/>
      <c r="B21" s="45" t="s">
        <v>18</v>
      </c>
      <c r="C21" s="36">
        <f>ROUND((SUM(C18,C20)),2)</f>
        <v>11009.5</v>
      </c>
    </row>
    <row r="22" spans="1:3" ht="16.5" thickBot="1" x14ac:dyDescent="0.3">
      <c r="A22" s="252" t="s">
        <v>19</v>
      </c>
      <c r="B22" s="253"/>
      <c r="C22" s="89">
        <v>1</v>
      </c>
    </row>
    <row r="23" spans="1:3" ht="16.5" thickBot="1" x14ac:dyDescent="0.3">
      <c r="A23" s="252" t="s">
        <v>20</v>
      </c>
      <c r="B23" s="253"/>
      <c r="C23" s="47">
        <f>C21</f>
        <v>11009.5</v>
      </c>
    </row>
    <row r="24" spans="1:3" ht="16.5" thickBot="1" x14ac:dyDescent="0.3">
      <c r="A24" s="252" t="s">
        <v>21</v>
      </c>
      <c r="B24" s="253"/>
      <c r="C24" s="88">
        <v>1</v>
      </c>
    </row>
    <row r="25" spans="1:3" ht="16.5" thickBot="1" x14ac:dyDescent="0.3">
      <c r="A25" s="252" t="s">
        <v>22</v>
      </c>
      <c r="B25" s="253"/>
      <c r="C25" s="47">
        <f>C24*C23</f>
        <v>11009.5</v>
      </c>
    </row>
  </sheetData>
  <mergeCells count="4">
    <mergeCell ref="A22:B22"/>
    <mergeCell ref="A23:B23"/>
    <mergeCell ref="A24:B24"/>
    <mergeCell ref="A25:B25"/>
  </mergeCell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885D-F4F2-48A0-B95E-A3910B8404EF}">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367</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364</v>
      </c>
      <c r="C13" s="36">
        <f>13.46*120</f>
        <v>1615.2</v>
      </c>
    </row>
    <row r="14" spans="1:3" ht="63.75" thickBot="1" x14ac:dyDescent="0.3">
      <c r="A14" s="33">
        <v>1114</v>
      </c>
      <c r="B14" s="37" t="s">
        <v>368</v>
      </c>
      <c r="C14" s="36">
        <f>13.46*534</f>
        <v>7187.64</v>
      </c>
    </row>
    <row r="15" spans="1:3" ht="16.5" thickBot="1" x14ac:dyDescent="0.3">
      <c r="A15" s="33"/>
      <c r="B15" s="37"/>
      <c r="C15" s="36"/>
    </row>
    <row r="16" spans="1:3" ht="16.5" thickBot="1" x14ac:dyDescent="0.3">
      <c r="A16" s="33">
        <v>1114</v>
      </c>
      <c r="B16" s="37" t="s">
        <v>282</v>
      </c>
      <c r="C16" s="105">
        <f>SUM(C11:C14)</f>
        <v>8825.1</v>
      </c>
    </row>
    <row r="17" spans="1:3" ht="16.5" thickBot="1" x14ac:dyDescent="0.3">
      <c r="A17" s="33">
        <v>1210</v>
      </c>
      <c r="B17" s="81" t="s">
        <v>283</v>
      </c>
      <c r="C17" s="144">
        <f>ROUND(C16*23.59%,2)</f>
        <v>2081.84</v>
      </c>
    </row>
    <row r="18" spans="1:3" ht="16.5" thickBot="1" x14ac:dyDescent="0.3">
      <c r="A18" s="34"/>
      <c r="B18" s="39" t="s">
        <v>8</v>
      </c>
      <c r="C18" s="92">
        <f>C16+C17</f>
        <v>10906.94</v>
      </c>
    </row>
    <row r="19" spans="1:3" ht="16.5" thickBot="1" x14ac:dyDescent="0.3">
      <c r="A19" s="34"/>
      <c r="B19" s="33" t="s">
        <v>9</v>
      </c>
      <c r="C19" s="36" t="s">
        <v>4</v>
      </c>
    </row>
    <row r="20" spans="1:3" ht="16.5" thickBot="1" x14ac:dyDescent="0.3">
      <c r="A20" s="34"/>
      <c r="B20" s="39" t="s">
        <v>17</v>
      </c>
      <c r="C20" s="36">
        <f>ROUND((C18*10%),2)</f>
        <v>1090.69</v>
      </c>
    </row>
    <row r="21" spans="1:3" ht="16.5" thickBot="1" x14ac:dyDescent="0.3">
      <c r="A21" s="33"/>
      <c r="B21" s="45" t="s">
        <v>18</v>
      </c>
      <c r="C21" s="36">
        <f>ROUND((SUM(C18,C20)),2)</f>
        <v>11997.63</v>
      </c>
    </row>
    <row r="22" spans="1:3" ht="16.5" thickBot="1" x14ac:dyDescent="0.3">
      <c r="A22" s="252" t="s">
        <v>19</v>
      </c>
      <c r="B22" s="253"/>
      <c r="C22" s="89">
        <v>1</v>
      </c>
    </row>
    <row r="23" spans="1:3" ht="16.5" thickBot="1" x14ac:dyDescent="0.3">
      <c r="A23" s="252" t="s">
        <v>20</v>
      </c>
      <c r="B23" s="253"/>
      <c r="C23" s="47">
        <f>C21</f>
        <v>11997.63</v>
      </c>
    </row>
    <row r="24" spans="1:3" ht="16.5" thickBot="1" x14ac:dyDescent="0.3">
      <c r="A24" s="252" t="s">
        <v>21</v>
      </c>
      <c r="B24" s="253"/>
      <c r="C24" s="88">
        <v>1</v>
      </c>
    </row>
    <row r="25" spans="1:3" ht="16.5" thickBot="1" x14ac:dyDescent="0.3">
      <c r="A25" s="252" t="s">
        <v>22</v>
      </c>
      <c r="B25" s="253"/>
      <c r="C25" s="47">
        <f>C24*C23</f>
        <v>11997.63</v>
      </c>
    </row>
  </sheetData>
  <mergeCells count="4">
    <mergeCell ref="A22:B22"/>
    <mergeCell ref="A23:B23"/>
    <mergeCell ref="A24:B24"/>
    <mergeCell ref="A25:B25"/>
  </mergeCell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570F-19C4-4929-B781-194F3D3FB7F1}">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369</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364</v>
      </c>
      <c r="C13" s="36">
        <f>13.46*120</f>
        <v>1615.2</v>
      </c>
    </row>
    <row r="14" spans="1:3" ht="63.75" thickBot="1" x14ac:dyDescent="0.3">
      <c r="A14" s="33">
        <v>1114</v>
      </c>
      <c r="B14" s="37" t="s">
        <v>370</v>
      </c>
      <c r="C14" s="36">
        <f>13.46*534</f>
        <v>7187.64</v>
      </c>
    </row>
    <row r="15" spans="1:3" ht="16.5" thickBot="1" x14ac:dyDescent="0.3">
      <c r="A15" s="33"/>
      <c r="B15" s="37"/>
      <c r="C15" s="36"/>
    </row>
    <row r="16" spans="1:3" ht="16.5" thickBot="1" x14ac:dyDescent="0.3">
      <c r="A16" s="33">
        <v>1114</v>
      </c>
      <c r="B16" s="37" t="s">
        <v>282</v>
      </c>
      <c r="C16" s="105">
        <f>SUM(C11:C14)</f>
        <v>8825.1</v>
      </c>
    </row>
    <row r="17" spans="1:3" ht="16.5" thickBot="1" x14ac:dyDescent="0.3">
      <c r="A17" s="33">
        <v>1210</v>
      </c>
      <c r="B17" s="81" t="s">
        <v>283</v>
      </c>
      <c r="C17" s="144">
        <f>ROUND(C16*23.59%,2)</f>
        <v>2081.84</v>
      </c>
    </row>
    <row r="18" spans="1:3" ht="16.5" thickBot="1" x14ac:dyDescent="0.3">
      <c r="A18" s="34"/>
      <c r="B18" s="39" t="s">
        <v>8</v>
      </c>
      <c r="C18" s="92">
        <f>C16+C17</f>
        <v>10906.94</v>
      </c>
    </row>
    <row r="19" spans="1:3" ht="16.5" thickBot="1" x14ac:dyDescent="0.3">
      <c r="A19" s="34"/>
      <c r="B19" s="33" t="s">
        <v>9</v>
      </c>
      <c r="C19" s="36" t="s">
        <v>4</v>
      </c>
    </row>
    <row r="20" spans="1:3" ht="16.5" thickBot="1" x14ac:dyDescent="0.3">
      <c r="A20" s="34"/>
      <c r="B20" s="39" t="s">
        <v>17</v>
      </c>
      <c r="C20" s="36">
        <f>ROUND((C18*10%),2)</f>
        <v>1090.69</v>
      </c>
    </row>
    <row r="21" spans="1:3" ht="16.5" thickBot="1" x14ac:dyDescent="0.3">
      <c r="A21" s="33"/>
      <c r="B21" s="45" t="s">
        <v>18</v>
      </c>
      <c r="C21" s="36">
        <f>ROUND((SUM(C18,C20)),2)</f>
        <v>11997.63</v>
      </c>
    </row>
    <row r="22" spans="1:3" ht="16.5" thickBot="1" x14ac:dyDescent="0.3">
      <c r="A22" s="252" t="s">
        <v>19</v>
      </c>
      <c r="B22" s="253"/>
      <c r="C22" s="89">
        <v>1</v>
      </c>
    </row>
    <row r="23" spans="1:3" ht="16.5" thickBot="1" x14ac:dyDescent="0.3">
      <c r="A23" s="252" t="s">
        <v>20</v>
      </c>
      <c r="B23" s="253"/>
      <c r="C23" s="47">
        <f>C21</f>
        <v>11997.63</v>
      </c>
    </row>
    <row r="24" spans="1:3" ht="16.5" thickBot="1" x14ac:dyDescent="0.3">
      <c r="A24" s="252" t="s">
        <v>21</v>
      </c>
      <c r="B24" s="253"/>
      <c r="C24" s="88">
        <v>1</v>
      </c>
    </row>
    <row r="25" spans="1:3" ht="16.5" thickBot="1" x14ac:dyDescent="0.3">
      <c r="A25" s="252" t="s">
        <v>22</v>
      </c>
      <c r="B25" s="253"/>
      <c r="C25" s="47">
        <f>C24*C23</f>
        <v>11997.63</v>
      </c>
    </row>
  </sheetData>
  <mergeCells count="4">
    <mergeCell ref="A22:B22"/>
    <mergeCell ref="A23:B23"/>
    <mergeCell ref="A24:B24"/>
    <mergeCell ref="A25:B25"/>
  </mergeCell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77CF-9916-4CFE-AF86-D62C3FD2FC5A}">
  <sheetPr>
    <tabColor theme="9" tint="0.79998168889431442"/>
  </sheetPr>
  <dimension ref="A1:C24"/>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355</v>
      </c>
    </row>
    <row r="3" spans="1:3" ht="15.75" x14ac:dyDescent="0.25">
      <c r="A3" s="31"/>
      <c r="B3" s="49" t="s">
        <v>371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372</v>
      </c>
      <c r="C13" s="36">
        <f>13.46*109</f>
        <v>1467.14</v>
      </c>
    </row>
    <row r="14" spans="1:3" ht="16.5" thickBot="1" x14ac:dyDescent="0.3">
      <c r="A14" s="33"/>
      <c r="B14" s="37"/>
      <c r="C14" s="36"/>
    </row>
    <row r="15" spans="1:3" ht="16.5" thickBot="1" x14ac:dyDescent="0.3">
      <c r="A15" s="33">
        <v>1114</v>
      </c>
      <c r="B15" s="37" t="s">
        <v>282</v>
      </c>
      <c r="C15" s="105">
        <f>SUM(C11:C13)</f>
        <v>1478.2700000000002</v>
      </c>
    </row>
    <row r="16" spans="1:3" ht="16.5" thickBot="1" x14ac:dyDescent="0.3">
      <c r="A16" s="33">
        <v>1210</v>
      </c>
      <c r="B16" s="81" t="s">
        <v>283</v>
      </c>
      <c r="C16" s="144">
        <f>ROUND(C15*23.59%,2)</f>
        <v>348.72</v>
      </c>
    </row>
    <row r="17" spans="1:3" ht="16.5" thickBot="1" x14ac:dyDescent="0.3">
      <c r="A17" s="34"/>
      <c r="B17" s="39" t="s">
        <v>8</v>
      </c>
      <c r="C17" s="92">
        <f>C15+C16</f>
        <v>1826.9900000000002</v>
      </c>
    </row>
    <row r="18" spans="1:3" ht="16.5" thickBot="1" x14ac:dyDescent="0.3">
      <c r="A18" s="34"/>
      <c r="B18" s="33" t="s">
        <v>9</v>
      </c>
      <c r="C18" s="36" t="s">
        <v>4</v>
      </c>
    </row>
    <row r="19" spans="1:3" ht="16.5" thickBot="1" x14ac:dyDescent="0.3">
      <c r="A19" s="34"/>
      <c r="B19" s="39" t="s">
        <v>17</v>
      </c>
      <c r="C19" s="36">
        <f>ROUND((C17*10%),2)</f>
        <v>182.7</v>
      </c>
    </row>
    <row r="20" spans="1:3" ht="16.5" thickBot="1" x14ac:dyDescent="0.3">
      <c r="A20" s="33"/>
      <c r="B20" s="45" t="s">
        <v>18</v>
      </c>
      <c r="C20" s="36">
        <f>ROUND((SUM(C17,C19)),2)</f>
        <v>2009.69</v>
      </c>
    </row>
    <row r="21" spans="1:3" ht="16.5" thickBot="1" x14ac:dyDescent="0.3">
      <c r="A21" s="252" t="s">
        <v>19</v>
      </c>
      <c r="B21" s="253"/>
      <c r="C21" s="89">
        <v>1</v>
      </c>
    </row>
    <row r="22" spans="1:3" ht="16.5" thickBot="1" x14ac:dyDescent="0.3">
      <c r="A22" s="252" t="s">
        <v>20</v>
      </c>
      <c r="B22" s="253"/>
      <c r="C22" s="47">
        <f>C20</f>
        <v>2009.69</v>
      </c>
    </row>
    <row r="23" spans="1:3" ht="16.5" thickBot="1" x14ac:dyDescent="0.3">
      <c r="A23" s="252" t="s">
        <v>21</v>
      </c>
      <c r="B23" s="253"/>
      <c r="C23" s="88">
        <v>1</v>
      </c>
    </row>
    <row r="24" spans="1:3" ht="16.5" thickBot="1" x14ac:dyDescent="0.3">
      <c r="A24" s="252" t="s">
        <v>22</v>
      </c>
      <c r="B24" s="253"/>
      <c r="C24" s="47">
        <f>C23*C22</f>
        <v>2009.69</v>
      </c>
    </row>
  </sheetData>
  <mergeCells count="4">
    <mergeCell ref="A21:B21"/>
    <mergeCell ref="A22:B22"/>
    <mergeCell ref="A23:B23"/>
    <mergeCell ref="A24:B24"/>
  </mergeCell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3840-6A0E-4CE0-AAF7-1BD241C8BB3A}">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31.5" customHeight="1" x14ac:dyDescent="0.25">
      <c r="A3" s="31"/>
      <c r="B3" s="49" t="s">
        <v>381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348</v>
      </c>
      <c r="C11" s="36">
        <f>11.13*16</f>
        <v>178.08</v>
      </c>
    </row>
    <row r="12" spans="1:3" ht="63.75" thickBot="1" x14ac:dyDescent="0.3">
      <c r="A12" s="33">
        <v>1114</v>
      </c>
      <c r="B12" s="37" t="s">
        <v>382</v>
      </c>
      <c r="C12" s="36">
        <f>13.46*20</f>
        <v>269.20000000000005</v>
      </c>
    </row>
    <row r="13" spans="1:3" ht="63.75" thickBot="1" x14ac:dyDescent="0.3">
      <c r="A13" s="33">
        <v>1114</v>
      </c>
      <c r="B13" s="37" t="s">
        <v>383</v>
      </c>
      <c r="C13" s="36">
        <f t="shared" ref="C13:C17" si="0">13.46*20</f>
        <v>269.20000000000005</v>
      </c>
    </row>
    <row r="14" spans="1:3" ht="63.75" thickBot="1" x14ac:dyDescent="0.3">
      <c r="A14" s="33">
        <v>1114</v>
      </c>
      <c r="B14" s="37" t="s">
        <v>384</v>
      </c>
      <c r="C14" s="36">
        <f t="shared" si="0"/>
        <v>269.20000000000005</v>
      </c>
    </row>
    <row r="15" spans="1:3" ht="63.75" thickBot="1" x14ac:dyDescent="0.3">
      <c r="A15" s="33">
        <v>1114</v>
      </c>
      <c r="B15" s="37" t="s">
        <v>385</v>
      </c>
      <c r="C15" s="36">
        <f t="shared" si="0"/>
        <v>269.20000000000005</v>
      </c>
    </row>
    <row r="16" spans="1:3" ht="63.75" thickBot="1" x14ac:dyDescent="0.3">
      <c r="A16" s="33">
        <v>1114</v>
      </c>
      <c r="B16" s="37" t="s">
        <v>386</v>
      </c>
      <c r="C16" s="36">
        <f t="shared" si="0"/>
        <v>269.20000000000005</v>
      </c>
    </row>
    <row r="17" spans="1:3" ht="63.75" thickBot="1" x14ac:dyDescent="0.3">
      <c r="A17" s="33">
        <v>1114</v>
      </c>
      <c r="B17" s="37" t="s">
        <v>387</v>
      </c>
      <c r="C17" s="36">
        <f t="shared" si="0"/>
        <v>269.20000000000005</v>
      </c>
    </row>
    <row r="18" spans="1:3" ht="63.75" thickBot="1" x14ac:dyDescent="0.3">
      <c r="A18" s="33">
        <v>1114</v>
      </c>
      <c r="B18" s="37" t="s">
        <v>306</v>
      </c>
      <c r="C18" s="36">
        <f>16.8*3</f>
        <v>50.400000000000006</v>
      </c>
    </row>
    <row r="19" spans="1:3" ht="16.5" thickBot="1" x14ac:dyDescent="0.3">
      <c r="A19" s="33"/>
      <c r="B19" s="37"/>
      <c r="C19" s="36"/>
    </row>
    <row r="20" spans="1:3" ht="16.5" thickBot="1" x14ac:dyDescent="0.3">
      <c r="A20" s="33">
        <v>1114</v>
      </c>
      <c r="B20" s="37" t="s">
        <v>282</v>
      </c>
      <c r="C20" s="105">
        <f>SUM(C11:C18)</f>
        <v>1843.6800000000003</v>
      </c>
    </row>
    <row r="21" spans="1:3" ht="16.5" thickBot="1" x14ac:dyDescent="0.3">
      <c r="A21" s="33">
        <v>1210</v>
      </c>
      <c r="B21" s="81" t="s">
        <v>283</v>
      </c>
      <c r="C21" s="144">
        <f>ROUND(C20*23.59%,2)</f>
        <v>434.92</v>
      </c>
    </row>
    <row r="22" spans="1:3" ht="16.5" thickBot="1" x14ac:dyDescent="0.3">
      <c r="A22" s="34"/>
      <c r="B22" s="39" t="s">
        <v>8</v>
      </c>
      <c r="C22" s="92">
        <f>C20+C21</f>
        <v>2278.6000000000004</v>
      </c>
    </row>
    <row r="23" spans="1:3" ht="16.5" thickBot="1" x14ac:dyDescent="0.3">
      <c r="A23" s="34"/>
      <c r="B23" s="33" t="s">
        <v>9</v>
      </c>
      <c r="C23" s="36" t="s">
        <v>4</v>
      </c>
    </row>
    <row r="24" spans="1:3" ht="16.5" thickBot="1" x14ac:dyDescent="0.3">
      <c r="A24" s="34"/>
      <c r="B24" s="39" t="s">
        <v>17</v>
      </c>
      <c r="C24" s="36">
        <f>ROUND((C22*10%),2)</f>
        <v>227.86</v>
      </c>
    </row>
    <row r="25" spans="1:3" ht="16.5" thickBot="1" x14ac:dyDescent="0.3">
      <c r="A25" s="33"/>
      <c r="B25" s="45" t="s">
        <v>18</v>
      </c>
      <c r="C25" s="36">
        <f>ROUND((SUM(C22,C24)),2)</f>
        <v>2506.46</v>
      </c>
    </row>
    <row r="26" spans="1:3" ht="16.5" thickBot="1" x14ac:dyDescent="0.3">
      <c r="A26" s="252" t="s">
        <v>19</v>
      </c>
      <c r="B26" s="253"/>
      <c r="C26" s="89">
        <v>1</v>
      </c>
    </row>
    <row r="27" spans="1:3" ht="16.5" thickBot="1" x14ac:dyDescent="0.3">
      <c r="A27" s="252" t="s">
        <v>20</v>
      </c>
      <c r="B27" s="253"/>
      <c r="C27" s="47">
        <f>C25</f>
        <v>2506.46</v>
      </c>
    </row>
    <row r="28" spans="1:3" ht="16.5" thickBot="1" x14ac:dyDescent="0.3">
      <c r="A28" s="252" t="s">
        <v>21</v>
      </c>
      <c r="B28" s="253"/>
      <c r="C28" s="88">
        <v>1</v>
      </c>
    </row>
    <row r="29" spans="1:3" ht="16.5" thickBot="1" x14ac:dyDescent="0.3">
      <c r="A29" s="252" t="s">
        <v>22</v>
      </c>
      <c r="B29" s="253"/>
      <c r="C29" s="47">
        <f>C28*C27</f>
        <v>2506.46</v>
      </c>
    </row>
  </sheetData>
  <mergeCells count="4">
    <mergeCell ref="A26:B26"/>
    <mergeCell ref="A27:B27"/>
    <mergeCell ref="A28:B28"/>
    <mergeCell ref="A29:B2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7EC7-AA19-4424-8026-996BF9A1DFB9}">
  <sheetPr>
    <tabColor theme="9" tint="0.79998168889431442"/>
  </sheetPr>
  <dimension ref="A1:C25"/>
  <sheetViews>
    <sheetView zoomScale="70" zoomScaleNormal="70" workbookViewId="0">
      <selection activeCell="J13" sqref="J13"/>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9" customHeight="1" x14ac:dyDescent="0.25">
      <c r="A2" s="31" t="s">
        <v>68</v>
      </c>
      <c r="B2" s="252" t="s">
        <v>237</v>
      </c>
      <c r="C2" s="252"/>
    </row>
    <row r="3" spans="1:3" ht="15.75" x14ac:dyDescent="0.25">
      <c r="A3" s="31" t="s">
        <v>71</v>
      </c>
      <c r="B3" s="29" t="s">
        <v>187</v>
      </c>
      <c r="C3" s="30"/>
    </row>
    <row r="5" spans="1:3" ht="15.75" thickBot="1" x14ac:dyDescent="0.3"/>
    <row r="6" spans="1:3" ht="64.5" thickTop="1" thickBot="1" x14ac:dyDescent="0.3">
      <c r="A6" s="229" t="s">
        <v>0</v>
      </c>
      <c r="B6" s="229" t="s">
        <v>1</v>
      </c>
      <c r="C6" s="229" t="s">
        <v>2</v>
      </c>
    </row>
    <row r="7" spans="1:3" ht="17.25" thickTop="1" thickBot="1" x14ac:dyDescent="0.3">
      <c r="A7" s="229">
        <v>1</v>
      </c>
      <c r="B7" s="229">
        <v>2</v>
      </c>
      <c r="C7" s="229">
        <v>3</v>
      </c>
    </row>
    <row r="8" spans="1:3" ht="17.25" thickTop="1" thickBot="1" x14ac:dyDescent="0.3">
      <c r="A8" s="230"/>
      <c r="B8" s="229" t="s">
        <v>3</v>
      </c>
      <c r="C8" s="229" t="s">
        <v>4</v>
      </c>
    </row>
    <row r="9" spans="1:3" ht="80.25" thickTop="1" thickBot="1" x14ac:dyDescent="0.3">
      <c r="A9" s="231">
        <v>1100</v>
      </c>
      <c r="B9" s="232" t="s">
        <v>687</v>
      </c>
      <c r="C9" s="233">
        <f>ROUND((12.97*1),2)</f>
        <v>12.97</v>
      </c>
    </row>
    <row r="10" spans="1:3" ht="80.25" thickTop="1" thickBot="1" x14ac:dyDescent="0.3">
      <c r="A10" s="229">
        <v>1100</v>
      </c>
      <c r="B10" s="232" t="s">
        <v>688</v>
      </c>
      <c r="C10" s="233">
        <f>24.37*0.4</f>
        <v>9.7480000000000011</v>
      </c>
    </row>
    <row r="11" spans="1:3" ht="17.25" thickTop="1" thickBot="1" x14ac:dyDescent="0.3">
      <c r="A11" s="230"/>
      <c r="B11" s="234" t="s">
        <v>8</v>
      </c>
      <c r="C11" s="235">
        <f>SUM(C9:C10)</f>
        <v>22.718000000000004</v>
      </c>
    </row>
    <row r="12" spans="1:3" ht="17.25" thickTop="1" thickBot="1" x14ac:dyDescent="0.3">
      <c r="A12" s="230"/>
      <c r="B12" s="229" t="s">
        <v>9</v>
      </c>
      <c r="C12" s="229" t="s">
        <v>4</v>
      </c>
    </row>
    <row r="13" spans="1:3" ht="17.25" thickTop="1" thickBot="1" x14ac:dyDescent="0.3">
      <c r="A13" s="229">
        <v>1100</v>
      </c>
      <c r="B13" s="236" t="s">
        <v>10</v>
      </c>
      <c r="C13" s="233">
        <v>0.31</v>
      </c>
    </row>
    <row r="14" spans="1:3" ht="17.25" thickTop="1" thickBot="1" x14ac:dyDescent="0.3">
      <c r="A14" s="237">
        <v>2210</v>
      </c>
      <c r="B14" s="238" t="s">
        <v>11</v>
      </c>
      <c r="C14" s="235">
        <v>0.1</v>
      </c>
    </row>
    <row r="15" spans="1:3" ht="17.25" thickTop="1" thickBot="1" x14ac:dyDescent="0.3">
      <c r="A15" s="237">
        <v>2220</v>
      </c>
      <c r="B15" s="238" t="s">
        <v>12</v>
      </c>
      <c r="C15" s="233">
        <v>0.4</v>
      </c>
    </row>
    <row r="16" spans="1:3" ht="17.25" thickTop="1" thickBot="1" x14ac:dyDescent="0.3">
      <c r="A16" s="237">
        <v>2240</v>
      </c>
      <c r="B16" s="238" t="s">
        <v>56</v>
      </c>
      <c r="C16" s="233">
        <v>1.07</v>
      </c>
    </row>
    <row r="17" spans="1:3" ht="17.25" thickTop="1" thickBot="1" x14ac:dyDescent="0.3">
      <c r="A17" s="237">
        <v>2310</v>
      </c>
      <c r="B17" s="238" t="s">
        <v>15</v>
      </c>
      <c r="C17" s="233">
        <v>0.2</v>
      </c>
    </row>
    <row r="18" spans="1:3" ht="17.25" thickTop="1" thickBot="1" x14ac:dyDescent="0.3">
      <c r="A18" s="239">
        <v>5200</v>
      </c>
      <c r="B18" s="240" t="s">
        <v>201</v>
      </c>
      <c r="C18" s="233">
        <v>0.2</v>
      </c>
    </row>
    <row r="19" spans="1:3" ht="17.25" thickTop="1" thickBot="1" x14ac:dyDescent="0.3">
      <c r="A19" s="230"/>
      <c r="B19" s="234" t="s">
        <v>17</v>
      </c>
      <c r="C19" s="233">
        <f>SUM(C13:C18)</f>
        <v>2.2800000000000002</v>
      </c>
    </row>
    <row r="20" spans="1:3" ht="17.25" thickTop="1" thickBot="1" x14ac:dyDescent="0.3">
      <c r="A20" s="229"/>
      <c r="B20" s="241" t="s">
        <v>18</v>
      </c>
      <c r="C20" s="233">
        <f>ROUND((SUM(C11,C19)),2)</f>
        <v>25</v>
      </c>
    </row>
    <row r="21" spans="1:3" ht="17.25" thickTop="1" thickBot="1" x14ac:dyDescent="0.3">
      <c r="A21" s="260" t="s">
        <v>19</v>
      </c>
      <c r="B21" s="260"/>
      <c r="C21" s="239">
        <v>1</v>
      </c>
    </row>
    <row r="22" spans="1:3" ht="17.25" thickTop="1" thickBot="1" x14ac:dyDescent="0.3">
      <c r="A22" s="260" t="s">
        <v>20</v>
      </c>
      <c r="B22" s="260"/>
      <c r="C22" s="235">
        <f>C20</f>
        <v>25</v>
      </c>
    </row>
    <row r="23" spans="1:3" ht="17.25" thickTop="1" thickBot="1" x14ac:dyDescent="0.3">
      <c r="A23" s="260" t="s">
        <v>21</v>
      </c>
      <c r="B23" s="260"/>
      <c r="C23" s="239">
        <v>0</v>
      </c>
    </row>
    <row r="24" spans="1:3" ht="17.25" thickTop="1" thickBot="1" x14ac:dyDescent="0.3">
      <c r="A24" s="260" t="s">
        <v>22</v>
      </c>
      <c r="B24" s="260"/>
      <c r="C24" s="235">
        <f>C23*C22</f>
        <v>0</v>
      </c>
    </row>
    <row r="25" spans="1:3" ht="15.75" thickTop="1" x14ac:dyDescent="0.25"/>
  </sheetData>
  <mergeCells count="5">
    <mergeCell ref="B2:C2"/>
    <mergeCell ref="A21:B21"/>
    <mergeCell ref="A22:B22"/>
    <mergeCell ref="A23:B23"/>
    <mergeCell ref="A24:B24"/>
  </mergeCell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E1F4-911B-4842-96A9-7ABF8D495343}">
  <sheetPr>
    <tabColor theme="9" tint="0.79998168889431442"/>
  </sheetPr>
  <dimension ref="A1:C24"/>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380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f>
        <v>11.13</v>
      </c>
    </row>
    <row r="12" spans="1:3" ht="16.5" thickBot="1" x14ac:dyDescent="0.3">
      <c r="A12" s="33"/>
      <c r="B12" s="143" t="s">
        <v>356</v>
      </c>
      <c r="C12" s="36"/>
    </row>
    <row r="13" spans="1:3" ht="63.75" thickBot="1" x14ac:dyDescent="0.3">
      <c r="A13" s="33">
        <v>1114</v>
      </c>
      <c r="B13" s="37" t="s">
        <v>388</v>
      </c>
      <c r="C13" s="36">
        <f>13.46*82</f>
        <v>1103.72</v>
      </c>
    </row>
    <row r="14" spans="1:3" ht="16.5" thickBot="1" x14ac:dyDescent="0.3">
      <c r="A14" s="33"/>
      <c r="B14" s="37"/>
      <c r="C14" s="36"/>
    </row>
    <row r="15" spans="1:3" ht="16.5" thickBot="1" x14ac:dyDescent="0.3">
      <c r="A15" s="33">
        <v>1114</v>
      </c>
      <c r="B15" s="37" t="s">
        <v>282</v>
      </c>
      <c r="C15" s="105">
        <f>SUM(C11:C13)</f>
        <v>1114.8500000000001</v>
      </c>
    </row>
    <row r="16" spans="1:3" ht="16.5" thickBot="1" x14ac:dyDescent="0.3">
      <c r="A16" s="33">
        <v>1210</v>
      </c>
      <c r="B16" s="81" t="s">
        <v>283</v>
      </c>
      <c r="C16" s="144">
        <f>ROUND(C15*23.59%,2)</f>
        <v>262.99</v>
      </c>
    </row>
    <row r="17" spans="1:3" ht="16.5" thickBot="1" x14ac:dyDescent="0.3">
      <c r="A17" s="34"/>
      <c r="B17" s="39" t="s">
        <v>8</v>
      </c>
      <c r="C17" s="92">
        <f>C15+C16</f>
        <v>1377.8400000000001</v>
      </c>
    </row>
    <row r="18" spans="1:3" ht="16.5" thickBot="1" x14ac:dyDescent="0.3">
      <c r="A18" s="34"/>
      <c r="B18" s="33" t="s">
        <v>9</v>
      </c>
      <c r="C18" s="36" t="s">
        <v>4</v>
      </c>
    </row>
    <row r="19" spans="1:3" ht="16.5" thickBot="1" x14ac:dyDescent="0.3">
      <c r="A19" s="34"/>
      <c r="B19" s="39" t="s">
        <v>17</v>
      </c>
      <c r="C19" s="36">
        <f>ROUND((C17*10%),2)</f>
        <v>137.78</v>
      </c>
    </row>
    <row r="20" spans="1:3" ht="16.5" thickBot="1" x14ac:dyDescent="0.3">
      <c r="A20" s="33"/>
      <c r="B20" s="45" t="s">
        <v>18</v>
      </c>
      <c r="C20" s="36">
        <f>ROUND((SUM(C17,C19)),2)</f>
        <v>1515.62</v>
      </c>
    </row>
    <row r="21" spans="1:3" ht="16.5" thickBot="1" x14ac:dyDescent="0.3">
      <c r="A21" s="252" t="s">
        <v>19</v>
      </c>
      <c r="B21" s="253"/>
      <c r="C21" s="89">
        <v>1</v>
      </c>
    </row>
    <row r="22" spans="1:3" ht="16.5" thickBot="1" x14ac:dyDescent="0.3">
      <c r="A22" s="252" t="s">
        <v>20</v>
      </c>
      <c r="B22" s="253"/>
      <c r="C22" s="47">
        <f>C20</f>
        <v>1515.62</v>
      </c>
    </row>
    <row r="23" spans="1:3" ht="16.5" thickBot="1" x14ac:dyDescent="0.3">
      <c r="A23" s="252" t="s">
        <v>21</v>
      </c>
      <c r="B23" s="253"/>
      <c r="C23" s="88">
        <v>1</v>
      </c>
    </row>
    <row r="24" spans="1:3" ht="16.5" thickBot="1" x14ac:dyDescent="0.3">
      <c r="A24" s="252" t="s">
        <v>22</v>
      </c>
      <c r="B24" s="253"/>
      <c r="C24" s="47">
        <f>C23*C22</f>
        <v>1515.62</v>
      </c>
    </row>
  </sheetData>
  <mergeCells count="4">
    <mergeCell ref="A21:B21"/>
    <mergeCell ref="A22:B22"/>
    <mergeCell ref="A23:B23"/>
    <mergeCell ref="A24:B24"/>
  </mergeCell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BB3E2-E796-4321-99C4-3C776BFEF02F}">
  <sheetPr>
    <tabColor theme="9" tint="0.79998168889431442"/>
  </sheetPr>
  <dimension ref="A1:C24"/>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379</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389</v>
      </c>
      <c r="C13" s="36">
        <f>16.8*65</f>
        <v>1092</v>
      </c>
    </row>
    <row r="14" spans="1:3" ht="16.5" thickBot="1" x14ac:dyDescent="0.3">
      <c r="A14" s="33"/>
      <c r="B14" s="37"/>
      <c r="C14" s="36"/>
    </row>
    <row r="15" spans="1:3" ht="16.5" thickBot="1" x14ac:dyDescent="0.3">
      <c r="A15" s="33">
        <v>1114</v>
      </c>
      <c r="B15" s="37" t="s">
        <v>282</v>
      </c>
      <c r="C15" s="105">
        <f>SUM(C11:C13)</f>
        <v>1114.26</v>
      </c>
    </row>
    <row r="16" spans="1:3" ht="16.5" thickBot="1" x14ac:dyDescent="0.3">
      <c r="A16" s="33">
        <v>1210</v>
      </c>
      <c r="B16" s="81" t="s">
        <v>283</v>
      </c>
      <c r="C16" s="144">
        <f>ROUND(C15*23.59%,2)</f>
        <v>262.85000000000002</v>
      </c>
    </row>
    <row r="17" spans="1:3" ht="16.5" thickBot="1" x14ac:dyDescent="0.3">
      <c r="A17" s="34"/>
      <c r="B17" s="39" t="s">
        <v>8</v>
      </c>
      <c r="C17" s="92">
        <f>C15+C16</f>
        <v>1377.1100000000001</v>
      </c>
    </row>
    <row r="18" spans="1:3" ht="16.5" thickBot="1" x14ac:dyDescent="0.3">
      <c r="A18" s="34"/>
      <c r="B18" s="33" t="s">
        <v>9</v>
      </c>
      <c r="C18" s="36" t="s">
        <v>4</v>
      </c>
    </row>
    <row r="19" spans="1:3" ht="16.5" thickBot="1" x14ac:dyDescent="0.3">
      <c r="A19" s="34"/>
      <c r="B19" s="39" t="s">
        <v>17</v>
      </c>
      <c r="C19" s="36">
        <f>ROUND((C17*10%),2)</f>
        <v>137.71</v>
      </c>
    </row>
    <row r="20" spans="1:3" ht="16.5" thickBot="1" x14ac:dyDescent="0.3">
      <c r="A20" s="33"/>
      <c r="B20" s="45" t="s">
        <v>18</v>
      </c>
      <c r="C20" s="36">
        <f>ROUND((SUM(C17,C19)),2)</f>
        <v>1514.82</v>
      </c>
    </row>
    <row r="21" spans="1:3" ht="16.5" thickBot="1" x14ac:dyDescent="0.3">
      <c r="A21" s="252" t="s">
        <v>19</v>
      </c>
      <c r="B21" s="253"/>
      <c r="C21" s="89">
        <v>1</v>
      </c>
    </row>
    <row r="22" spans="1:3" ht="16.5" thickBot="1" x14ac:dyDescent="0.3">
      <c r="A22" s="252" t="s">
        <v>20</v>
      </c>
      <c r="B22" s="253"/>
      <c r="C22" s="47">
        <f>C20</f>
        <v>1514.82</v>
      </c>
    </row>
    <row r="23" spans="1:3" ht="16.5" thickBot="1" x14ac:dyDescent="0.3">
      <c r="A23" s="252" t="s">
        <v>21</v>
      </c>
      <c r="B23" s="253"/>
      <c r="C23" s="88">
        <v>1</v>
      </c>
    </row>
    <row r="24" spans="1:3" ht="16.5" thickBot="1" x14ac:dyDescent="0.3">
      <c r="A24" s="252" t="s">
        <v>22</v>
      </c>
      <c r="B24" s="253"/>
      <c r="C24" s="47">
        <f>C23*C22</f>
        <v>1514.82</v>
      </c>
    </row>
  </sheetData>
  <mergeCells count="4">
    <mergeCell ref="A21:B21"/>
    <mergeCell ref="A22:B22"/>
    <mergeCell ref="A23:B23"/>
    <mergeCell ref="A24:B24"/>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38889-F87D-4C64-AE48-72C08C7DA867}">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378</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390</v>
      </c>
      <c r="C13" s="36">
        <f>13.46*60</f>
        <v>807.6</v>
      </c>
    </row>
    <row r="14" spans="1:3" ht="63.75" thickBot="1" x14ac:dyDescent="0.3">
      <c r="A14" s="33">
        <v>1114</v>
      </c>
      <c r="B14" s="37" t="s">
        <v>337</v>
      </c>
      <c r="C14" s="36">
        <f>13.46*240</f>
        <v>3230.4</v>
      </c>
    </row>
    <row r="15" spans="1:3" ht="16.5" thickBot="1" x14ac:dyDescent="0.3">
      <c r="A15" s="33"/>
      <c r="B15" s="37"/>
      <c r="C15" s="36"/>
    </row>
    <row r="16" spans="1:3" ht="16.5" thickBot="1" x14ac:dyDescent="0.3">
      <c r="A16" s="33">
        <v>1114</v>
      </c>
      <c r="B16" s="37" t="s">
        <v>282</v>
      </c>
      <c r="C16" s="105">
        <f>SUM(C11:C14)</f>
        <v>4049.13</v>
      </c>
    </row>
    <row r="17" spans="1:3" ht="16.5" thickBot="1" x14ac:dyDescent="0.3">
      <c r="A17" s="33">
        <v>1210</v>
      </c>
      <c r="B17" s="81" t="s">
        <v>283</v>
      </c>
      <c r="C17" s="144">
        <f>ROUND(C16*23.59%,2)</f>
        <v>955.19</v>
      </c>
    </row>
    <row r="18" spans="1:3" ht="16.5" thickBot="1" x14ac:dyDescent="0.3">
      <c r="A18" s="34"/>
      <c r="B18" s="39" t="s">
        <v>8</v>
      </c>
      <c r="C18" s="92">
        <f>C16+C17</f>
        <v>5004.32</v>
      </c>
    </row>
    <row r="19" spans="1:3" ht="16.5" thickBot="1" x14ac:dyDescent="0.3">
      <c r="A19" s="34"/>
      <c r="B19" s="33" t="s">
        <v>9</v>
      </c>
      <c r="C19" s="36" t="s">
        <v>4</v>
      </c>
    </row>
    <row r="20" spans="1:3" ht="16.5" thickBot="1" x14ac:dyDescent="0.3">
      <c r="A20" s="34"/>
      <c r="B20" s="39" t="s">
        <v>17</v>
      </c>
      <c r="C20" s="36">
        <f>ROUND((C18*10%),2)</f>
        <v>500.43</v>
      </c>
    </row>
    <row r="21" spans="1:3" ht="16.5" thickBot="1" x14ac:dyDescent="0.3">
      <c r="A21" s="33"/>
      <c r="B21" s="45" t="s">
        <v>18</v>
      </c>
      <c r="C21" s="36">
        <f>ROUND((SUM(C18,C20)),2)</f>
        <v>5504.75</v>
      </c>
    </row>
    <row r="22" spans="1:3" ht="16.5" thickBot="1" x14ac:dyDescent="0.3">
      <c r="A22" s="252" t="s">
        <v>19</v>
      </c>
      <c r="B22" s="253"/>
      <c r="C22" s="89">
        <v>1</v>
      </c>
    </row>
    <row r="23" spans="1:3" ht="16.5" thickBot="1" x14ac:dyDescent="0.3">
      <c r="A23" s="252" t="s">
        <v>20</v>
      </c>
      <c r="B23" s="253"/>
      <c r="C23" s="47">
        <f>C21</f>
        <v>5504.75</v>
      </c>
    </row>
    <row r="24" spans="1:3" ht="16.5" thickBot="1" x14ac:dyDescent="0.3">
      <c r="A24" s="252" t="s">
        <v>21</v>
      </c>
      <c r="B24" s="253"/>
      <c r="C24" s="88">
        <v>1</v>
      </c>
    </row>
    <row r="25" spans="1:3" ht="16.5" thickBot="1" x14ac:dyDescent="0.3">
      <c r="A25" s="252" t="s">
        <v>22</v>
      </c>
      <c r="B25" s="253"/>
      <c r="C25" s="47">
        <f>C24*C23</f>
        <v>5504.75</v>
      </c>
    </row>
  </sheetData>
  <mergeCells count="4">
    <mergeCell ref="A22:B22"/>
    <mergeCell ref="A23:B23"/>
    <mergeCell ref="A24:B24"/>
    <mergeCell ref="A25:B25"/>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B033-7151-47C4-8B4A-EFD055967BEA}">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377</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390</v>
      </c>
      <c r="C13" s="36">
        <f>13.46*60</f>
        <v>807.6</v>
      </c>
    </row>
    <row r="14" spans="1:3" ht="63.75" thickBot="1" x14ac:dyDescent="0.3">
      <c r="A14" s="33">
        <v>1114</v>
      </c>
      <c r="B14" s="37" t="s">
        <v>338</v>
      </c>
      <c r="C14" s="36">
        <f>13.46*240</f>
        <v>3230.4</v>
      </c>
    </row>
    <row r="15" spans="1:3" ht="16.5" thickBot="1" x14ac:dyDescent="0.3">
      <c r="A15" s="33"/>
      <c r="B15" s="37"/>
      <c r="C15" s="36"/>
    </row>
    <row r="16" spans="1:3" ht="16.5" thickBot="1" x14ac:dyDescent="0.3">
      <c r="A16" s="33">
        <v>1114</v>
      </c>
      <c r="B16" s="37" t="s">
        <v>282</v>
      </c>
      <c r="C16" s="105">
        <f>SUM(C11:C14)</f>
        <v>4049.13</v>
      </c>
    </row>
    <row r="17" spans="1:3" ht="16.5" thickBot="1" x14ac:dyDescent="0.3">
      <c r="A17" s="33">
        <v>1210</v>
      </c>
      <c r="B17" s="81" t="s">
        <v>283</v>
      </c>
      <c r="C17" s="144">
        <f>ROUND(C16*23.59%,2)</f>
        <v>955.19</v>
      </c>
    </row>
    <row r="18" spans="1:3" ht="16.5" thickBot="1" x14ac:dyDescent="0.3">
      <c r="A18" s="34"/>
      <c r="B18" s="39" t="s">
        <v>8</v>
      </c>
      <c r="C18" s="92">
        <f>C16+C17</f>
        <v>5004.32</v>
      </c>
    </row>
    <row r="19" spans="1:3" ht="16.5" thickBot="1" x14ac:dyDescent="0.3">
      <c r="A19" s="34"/>
      <c r="B19" s="33" t="s">
        <v>9</v>
      </c>
      <c r="C19" s="36" t="s">
        <v>4</v>
      </c>
    </row>
    <row r="20" spans="1:3" ht="16.5" thickBot="1" x14ac:dyDescent="0.3">
      <c r="A20" s="34"/>
      <c r="B20" s="39" t="s">
        <v>17</v>
      </c>
      <c r="C20" s="36">
        <f>ROUND((C18*10%),2)</f>
        <v>500.43</v>
      </c>
    </row>
    <row r="21" spans="1:3" ht="16.5" thickBot="1" x14ac:dyDescent="0.3">
      <c r="A21" s="33"/>
      <c r="B21" s="45" t="s">
        <v>18</v>
      </c>
      <c r="C21" s="36">
        <f>ROUND((SUM(C18,C20)),2)</f>
        <v>5504.75</v>
      </c>
    </row>
    <row r="22" spans="1:3" ht="16.5" thickBot="1" x14ac:dyDescent="0.3">
      <c r="A22" s="252" t="s">
        <v>19</v>
      </c>
      <c r="B22" s="253"/>
      <c r="C22" s="89">
        <v>1</v>
      </c>
    </row>
    <row r="23" spans="1:3" ht="16.5" thickBot="1" x14ac:dyDescent="0.3">
      <c r="A23" s="252" t="s">
        <v>20</v>
      </c>
      <c r="B23" s="253"/>
      <c r="C23" s="47">
        <f>C21</f>
        <v>5504.75</v>
      </c>
    </row>
    <row r="24" spans="1:3" ht="16.5" thickBot="1" x14ac:dyDescent="0.3">
      <c r="A24" s="252" t="s">
        <v>21</v>
      </c>
      <c r="B24" s="253"/>
      <c r="C24" s="88">
        <v>1</v>
      </c>
    </row>
    <row r="25" spans="1:3" ht="16.5" thickBot="1" x14ac:dyDescent="0.3">
      <c r="A25" s="252" t="s">
        <v>22</v>
      </c>
      <c r="B25" s="253"/>
      <c r="C25" s="47">
        <f>C24*C23</f>
        <v>5504.75</v>
      </c>
    </row>
  </sheetData>
  <mergeCells count="4">
    <mergeCell ref="A22:B22"/>
    <mergeCell ref="A23:B23"/>
    <mergeCell ref="A24:B24"/>
    <mergeCell ref="A25:B25"/>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9398-6E74-4CBA-9CAF-9056D243FB29}">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376</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391</v>
      </c>
      <c r="C13" s="36">
        <f>13.46*48</f>
        <v>646.08000000000004</v>
      </c>
    </row>
    <row r="14" spans="1:3" ht="63.75" thickBot="1" x14ac:dyDescent="0.3">
      <c r="A14" s="33">
        <v>1114</v>
      </c>
      <c r="B14" s="37" t="s">
        <v>392</v>
      </c>
      <c r="C14" s="36">
        <f>13.46*280</f>
        <v>3768.8</v>
      </c>
    </row>
    <row r="15" spans="1:3" ht="16.5" thickBot="1" x14ac:dyDescent="0.3">
      <c r="A15" s="33"/>
      <c r="B15" s="37"/>
      <c r="C15" s="36"/>
    </row>
    <row r="16" spans="1:3" ht="16.5" thickBot="1" x14ac:dyDescent="0.3">
      <c r="A16" s="33">
        <v>1114</v>
      </c>
      <c r="B16" s="37" t="s">
        <v>282</v>
      </c>
      <c r="C16" s="105">
        <f>SUM(C11:C14)</f>
        <v>4426.01</v>
      </c>
    </row>
    <row r="17" spans="1:3" ht="16.5" thickBot="1" x14ac:dyDescent="0.3">
      <c r="A17" s="33">
        <v>1210</v>
      </c>
      <c r="B17" s="81" t="s">
        <v>283</v>
      </c>
      <c r="C17" s="144">
        <f>ROUND(C16*23.59%,2)</f>
        <v>1044.0999999999999</v>
      </c>
    </row>
    <row r="18" spans="1:3" ht="16.5" thickBot="1" x14ac:dyDescent="0.3">
      <c r="A18" s="34"/>
      <c r="B18" s="39" t="s">
        <v>8</v>
      </c>
      <c r="C18" s="92">
        <f>C16+C17</f>
        <v>5470.1100000000006</v>
      </c>
    </row>
    <row r="19" spans="1:3" ht="16.5" thickBot="1" x14ac:dyDescent="0.3">
      <c r="A19" s="34"/>
      <c r="B19" s="33" t="s">
        <v>9</v>
      </c>
      <c r="C19" s="36" t="s">
        <v>4</v>
      </c>
    </row>
    <row r="20" spans="1:3" ht="16.5" thickBot="1" x14ac:dyDescent="0.3">
      <c r="A20" s="34"/>
      <c r="B20" s="39" t="s">
        <v>17</v>
      </c>
      <c r="C20" s="36">
        <f>ROUND((C18*10%),2)</f>
        <v>547.01</v>
      </c>
    </row>
    <row r="21" spans="1:3" ht="16.5" thickBot="1" x14ac:dyDescent="0.3">
      <c r="A21" s="33"/>
      <c r="B21" s="45" t="s">
        <v>18</v>
      </c>
      <c r="C21" s="36">
        <f>ROUND((SUM(C18,C20)),2)</f>
        <v>6017.12</v>
      </c>
    </row>
    <row r="22" spans="1:3" ht="16.5" thickBot="1" x14ac:dyDescent="0.3">
      <c r="A22" s="252" t="s">
        <v>19</v>
      </c>
      <c r="B22" s="253"/>
      <c r="C22" s="89">
        <v>1</v>
      </c>
    </row>
    <row r="23" spans="1:3" ht="16.5" thickBot="1" x14ac:dyDescent="0.3">
      <c r="A23" s="252" t="s">
        <v>20</v>
      </c>
      <c r="B23" s="253"/>
      <c r="C23" s="47">
        <f>C21</f>
        <v>6017.12</v>
      </c>
    </row>
    <row r="24" spans="1:3" ht="16.5" thickBot="1" x14ac:dyDescent="0.3">
      <c r="A24" s="252" t="s">
        <v>21</v>
      </c>
      <c r="B24" s="253"/>
      <c r="C24" s="88">
        <v>1</v>
      </c>
    </row>
    <row r="25" spans="1:3" ht="16.5" thickBot="1" x14ac:dyDescent="0.3">
      <c r="A25" s="252" t="s">
        <v>22</v>
      </c>
      <c r="B25" s="253"/>
      <c r="C25" s="47">
        <f>C24*C23</f>
        <v>6017.12</v>
      </c>
    </row>
  </sheetData>
  <mergeCells count="4">
    <mergeCell ref="A22:B22"/>
    <mergeCell ref="A23:B23"/>
    <mergeCell ref="A24:B24"/>
    <mergeCell ref="A25:B25"/>
  </mergeCell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7897-F0CA-4E9F-B4AC-7C857625557F}">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375</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391</v>
      </c>
      <c r="C13" s="36">
        <f>13.46*48</f>
        <v>646.08000000000004</v>
      </c>
    </row>
    <row r="14" spans="1:3" ht="63.75" thickBot="1" x14ac:dyDescent="0.3">
      <c r="A14" s="33">
        <v>1114</v>
      </c>
      <c r="B14" s="37" t="s">
        <v>393</v>
      </c>
      <c r="C14" s="36">
        <f>13.46*280</f>
        <v>3768.8</v>
      </c>
    </row>
    <row r="15" spans="1:3" ht="16.5" thickBot="1" x14ac:dyDescent="0.3">
      <c r="A15" s="33"/>
      <c r="B15" s="37"/>
      <c r="C15" s="36"/>
    </row>
    <row r="16" spans="1:3" ht="16.5" thickBot="1" x14ac:dyDescent="0.3">
      <c r="A16" s="33">
        <v>1114</v>
      </c>
      <c r="B16" s="37" t="s">
        <v>282</v>
      </c>
      <c r="C16" s="105">
        <f>SUM(C11:C14)</f>
        <v>4426.01</v>
      </c>
    </row>
    <row r="17" spans="1:3" ht="16.5" thickBot="1" x14ac:dyDescent="0.3">
      <c r="A17" s="33">
        <v>1210</v>
      </c>
      <c r="B17" s="81" t="s">
        <v>283</v>
      </c>
      <c r="C17" s="144">
        <f>ROUND(C16*23.59%,2)</f>
        <v>1044.0999999999999</v>
      </c>
    </row>
    <row r="18" spans="1:3" ht="16.5" thickBot="1" x14ac:dyDescent="0.3">
      <c r="A18" s="34"/>
      <c r="B18" s="39" t="s">
        <v>8</v>
      </c>
      <c r="C18" s="92">
        <f>C16+C17</f>
        <v>5470.1100000000006</v>
      </c>
    </row>
    <row r="19" spans="1:3" ht="16.5" thickBot="1" x14ac:dyDescent="0.3">
      <c r="A19" s="34"/>
      <c r="B19" s="33" t="s">
        <v>9</v>
      </c>
      <c r="C19" s="36" t="s">
        <v>4</v>
      </c>
    </row>
    <row r="20" spans="1:3" ht="16.5" thickBot="1" x14ac:dyDescent="0.3">
      <c r="A20" s="34"/>
      <c r="B20" s="39" t="s">
        <v>17</v>
      </c>
      <c r="C20" s="36">
        <f>ROUND((C18*10%),2)</f>
        <v>547.01</v>
      </c>
    </row>
    <row r="21" spans="1:3" ht="16.5" thickBot="1" x14ac:dyDescent="0.3">
      <c r="A21" s="33"/>
      <c r="B21" s="45" t="s">
        <v>18</v>
      </c>
      <c r="C21" s="36">
        <f>ROUND((SUM(C18,C20)),2)</f>
        <v>6017.12</v>
      </c>
    </row>
    <row r="22" spans="1:3" ht="16.5" thickBot="1" x14ac:dyDescent="0.3">
      <c r="A22" s="252" t="s">
        <v>19</v>
      </c>
      <c r="B22" s="253"/>
      <c r="C22" s="89">
        <v>1</v>
      </c>
    </row>
    <row r="23" spans="1:3" ht="16.5" thickBot="1" x14ac:dyDescent="0.3">
      <c r="A23" s="252" t="s">
        <v>20</v>
      </c>
      <c r="B23" s="253"/>
      <c r="C23" s="47">
        <f>C21</f>
        <v>6017.12</v>
      </c>
    </row>
    <row r="24" spans="1:3" ht="16.5" thickBot="1" x14ac:dyDescent="0.3">
      <c r="A24" s="252" t="s">
        <v>21</v>
      </c>
      <c r="B24" s="253"/>
      <c r="C24" s="88">
        <v>1</v>
      </c>
    </row>
    <row r="25" spans="1:3" ht="16.5" thickBot="1" x14ac:dyDescent="0.3">
      <c r="A25" s="252" t="s">
        <v>22</v>
      </c>
      <c r="B25" s="253"/>
      <c r="C25" s="47">
        <f>C24*C23</f>
        <v>6017.12</v>
      </c>
    </row>
  </sheetData>
  <mergeCells count="4">
    <mergeCell ref="A22:B22"/>
    <mergeCell ref="A23:B23"/>
    <mergeCell ref="A24:B24"/>
    <mergeCell ref="A25:B25"/>
  </mergeCell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4EE6-68AF-4A21-9EAB-EB86ECB31D19}">
  <sheetPr>
    <tabColor theme="9" tint="0.79998168889431442"/>
  </sheetPr>
  <dimension ref="A1:C24"/>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373</v>
      </c>
    </row>
    <row r="3" spans="1:3" ht="15.75" x14ac:dyDescent="0.25">
      <c r="A3" s="31"/>
      <c r="B3" s="49" t="s">
        <v>374</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16.5" thickBot="1" x14ac:dyDescent="0.3">
      <c r="A12" s="33"/>
      <c r="B12" s="143" t="s">
        <v>356</v>
      </c>
      <c r="C12" s="36"/>
    </row>
    <row r="13" spans="1:3" ht="63.75" thickBot="1" x14ac:dyDescent="0.3">
      <c r="A13" s="33">
        <v>1114</v>
      </c>
      <c r="B13" s="37" t="s">
        <v>394</v>
      </c>
      <c r="C13" s="36">
        <f>13.46*54</f>
        <v>726.84</v>
      </c>
    </row>
    <row r="14" spans="1:3" ht="16.5" thickBot="1" x14ac:dyDescent="0.3">
      <c r="A14" s="33"/>
      <c r="B14" s="37"/>
      <c r="C14" s="36"/>
    </row>
    <row r="15" spans="1:3" ht="16.5" thickBot="1" x14ac:dyDescent="0.3">
      <c r="A15" s="33">
        <v>1114</v>
      </c>
      <c r="B15" s="37" t="s">
        <v>282</v>
      </c>
      <c r="C15" s="105">
        <f>SUM(C11:C13)</f>
        <v>737.97</v>
      </c>
    </row>
    <row r="16" spans="1:3" ht="16.5" thickBot="1" x14ac:dyDescent="0.3">
      <c r="A16" s="33">
        <v>1210</v>
      </c>
      <c r="B16" s="81" t="s">
        <v>283</v>
      </c>
      <c r="C16" s="144">
        <f>ROUND(C15*23.59%,2)</f>
        <v>174.09</v>
      </c>
    </row>
    <row r="17" spans="1:3" ht="16.5" thickBot="1" x14ac:dyDescent="0.3">
      <c r="A17" s="34"/>
      <c r="B17" s="39" t="s">
        <v>8</v>
      </c>
      <c r="C17" s="92">
        <f>C15+C16</f>
        <v>912.06000000000006</v>
      </c>
    </row>
    <row r="18" spans="1:3" ht="16.5" thickBot="1" x14ac:dyDescent="0.3">
      <c r="A18" s="34"/>
      <c r="B18" s="33" t="s">
        <v>9</v>
      </c>
      <c r="C18" s="36" t="s">
        <v>4</v>
      </c>
    </row>
    <row r="19" spans="1:3" ht="16.5" thickBot="1" x14ac:dyDescent="0.3">
      <c r="A19" s="34"/>
      <c r="B19" s="39" t="s">
        <v>17</v>
      </c>
      <c r="C19" s="36">
        <f>ROUND((C17*10%),2)</f>
        <v>91.21</v>
      </c>
    </row>
    <row r="20" spans="1:3" ht="16.5" thickBot="1" x14ac:dyDescent="0.3">
      <c r="A20" s="33"/>
      <c r="B20" s="45" t="s">
        <v>18</v>
      </c>
      <c r="C20" s="36">
        <f>ROUND((SUM(C17,C19)),2)</f>
        <v>1003.27</v>
      </c>
    </row>
    <row r="21" spans="1:3" ht="16.5" thickBot="1" x14ac:dyDescent="0.3">
      <c r="A21" s="252" t="s">
        <v>19</v>
      </c>
      <c r="B21" s="253"/>
      <c r="C21" s="89">
        <v>1</v>
      </c>
    </row>
    <row r="22" spans="1:3" ht="16.5" thickBot="1" x14ac:dyDescent="0.3">
      <c r="A22" s="252" t="s">
        <v>20</v>
      </c>
      <c r="B22" s="253"/>
      <c r="C22" s="47">
        <f>C20</f>
        <v>1003.27</v>
      </c>
    </row>
    <row r="23" spans="1:3" ht="16.5" thickBot="1" x14ac:dyDescent="0.3">
      <c r="A23" s="252" t="s">
        <v>21</v>
      </c>
      <c r="B23" s="253"/>
      <c r="C23" s="88">
        <v>1</v>
      </c>
    </row>
    <row r="24" spans="1:3" ht="16.5" thickBot="1" x14ac:dyDescent="0.3">
      <c r="A24" s="252" t="s">
        <v>22</v>
      </c>
      <c r="B24" s="253"/>
      <c r="C24" s="47">
        <f>C23*C22</f>
        <v>1003.27</v>
      </c>
    </row>
  </sheetData>
  <mergeCells count="4">
    <mergeCell ref="A21:B21"/>
    <mergeCell ref="A22:B22"/>
    <mergeCell ref="A23:B23"/>
    <mergeCell ref="A24:B24"/>
  </mergeCell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665A-514B-4063-8C41-8DFBD2EC39E8}">
  <sheetPr>
    <tabColor theme="9" tint="0.79998168889431442"/>
  </sheetPr>
  <dimension ref="A1:C27"/>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395</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396</v>
      </c>
      <c r="C9" s="33"/>
    </row>
    <row r="10" spans="1:3" ht="63.75" thickBot="1" x14ac:dyDescent="0.3">
      <c r="A10" s="33">
        <v>1114</v>
      </c>
      <c r="B10" s="37" t="s">
        <v>303</v>
      </c>
      <c r="C10" s="36">
        <f>11.13*1</f>
        <v>11.13</v>
      </c>
    </row>
    <row r="11" spans="1:3" ht="63.75" thickBot="1" x14ac:dyDescent="0.3">
      <c r="A11" s="33">
        <v>1114</v>
      </c>
      <c r="B11" s="37" t="s">
        <v>384</v>
      </c>
      <c r="C11" s="36">
        <f>13.46*20</f>
        <v>269.20000000000005</v>
      </c>
    </row>
    <row r="12" spans="1:3" ht="63.75" thickBot="1" x14ac:dyDescent="0.3">
      <c r="A12" s="33">
        <v>1114</v>
      </c>
      <c r="B12" s="37" t="s">
        <v>397</v>
      </c>
      <c r="C12" s="36">
        <f>13.46*100</f>
        <v>1346</v>
      </c>
    </row>
    <row r="13" spans="1:3" ht="16.5" thickBot="1" x14ac:dyDescent="0.3">
      <c r="A13" s="33"/>
      <c r="B13" s="143" t="s">
        <v>356</v>
      </c>
      <c r="C13" s="36"/>
    </row>
    <row r="14" spans="1:3" ht="63.75" thickBot="1" x14ac:dyDescent="0.3">
      <c r="A14" s="33">
        <v>1114</v>
      </c>
      <c r="B14" s="37" t="s">
        <v>398</v>
      </c>
      <c r="C14" s="36">
        <f>13.46*73</f>
        <v>982.58</v>
      </c>
    </row>
    <row r="15" spans="1:3" ht="63.75" thickBot="1" x14ac:dyDescent="0.3">
      <c r="A15" s="33">
        <v>1114</v>
      </c>
      <c r="B15" s="37" t="s">
        <v>399</v>
      </c>
      <c r="C15" s="36">
        <f>13.46*200</f>
        <v>2692</v>
      </c>
    </row>
    <row r="16" spans="1:3" ht="63.75" thickBot="1" x14ac:dyDescent="0.3">
      <c r="A16" s="33">
        <v>1114</v>
      </c>
      <c r="B16" s="37" t="s">
        <v>400</v>
      </c>
      <c r="C16" s="36">
        <f>16.8*56</f>
        <v>940.80000000000007</v>
      </c>
    </row>
    <row r="17" spans="1:3" ht="16.5" thickBot="1" x14ac:dyDescent="0.3">
      <c r="A17" s="33"/>
      <c r="B17" s="37"/>
      <c r="C17" s="36"/>
    </row>
    <row r="18" spans="1:3" ht="16.5" thickBot="1" x14ac:dyDescent="0.3">
      <c r="A18" s="33">
        <v>1114</v>
      </c>
      <c r="B18" s="37" t="s">
        <v>282</v>
      </c>
      <c r="C18" s="105">
        <f>SUM(C10:C16)</f>
        <v>6241.71</v>
      </c>
    </row>
    <row r="19" spans="1:3" ht="16.5" thickBot="1" x14ac:dyDescent="0.3">
      <c r="A19" s="33">
        <v>1210</v>
      </c>
      <c r="B19" s="81" t="s">
        <v>283</v>
      </c>
      <c r="C19" s="144">
        <f>ROUND(C18*23.59%,2)</f>
        <v>1472.42</v>
      </c>
    </row>
    <row r="20" spans="1:3" ht="16.5" thickBot="1" x14ac:dyDescent="0.3">
      <c r="A20" s="34"/>
      <c r="B20" s="39" t="s">
        <v>8</v>
      </c>
      <c r="C20" s="92">
        <f>C18+C19</f>
        <v>7714.13</v>
      </c>
    </row>
    <row r="21" spans="1:3" ht="16.5" thickBot="1" x14ac:dyDescent="0.3">
      <c r="A21" s="34"/>
      <c r="B21" s="33" t="s">
        <v>9</v>
      </c>
      <c r="C21" s="36" t="s">
        <v>4</v>
      </c>
    </row>
    <row r="22" spans="1:3" ht="16.5" thickBot="1" x14ac:dyDescent="0.3">
      <c r="A22" s="34"/>
      <c r="B22" s="39" t="s">
        <v>17</v>
      </c>
      <c r="C22" s="36">
        <f>ROUND((C20*10%),2)</f>
        <v>771.41</v>
      </c>
    </row>
    <row r="23" spans="1:3" ht="16.5" thickBot="1" x14ac:dyDescent="0.3">
      <c r="A23" s="33"/>
      <c r="B23" s="45" t="s">
        <v>18</v>
      </c>
      <c r="C23" s="36">
        <f>ROUND((SUM(C20,C22)),2)</f>
        <v>8485.5400000000009</v>
      </c>
    </row>
    <row r="24" spans="1:3" ht="16.5" thickBot="1" x14ac:dyDescent="0.3">
      <c r="A24" s="252" t="s">
        <v>19</v>
      </c>
      <c r="B24" s="253"/>
      <c r="C24" s="89">
        <v>1</v>
      </c>
    </row>
    <row r="25" spans="1:3" ht="16.5" thickBot="1" x14ac:dyDescent="0.3">
      <c r="A25" s="252" t="s">
        <v>20</v>
      </c>
      <c r="B25" s="253"/>
      <c r="C25" s="47">
        <f>C23</f>
        <v>8485.5400000000009</v>
      </c>
    </row>
    <row r="26" spans="1:3" ht="16.5" thickBot="1" x14ac:dyDescent="0.3">
      <c r="A26" s="252" t="s">
        <v>21</v>
      </c>
      <c r="B26" s="253"/>
      <c r="C26" s="88">
        <v>1</v>
      </c>
    </row>
    <row r="27" spans="1:3" ht="16.5" thickBot="1" x14ac:dyDescent="0.3">
      <c r="A27" s="252" t="s">
        <v>22</v>
      </c>
      <c r="B27" s="253"/>
      <c r="C27" s="47">
        <f>C26*C25</f>
        <v>8485.5400000000009</v>
      </c>
    </row>
  </sheetData>
  <mergeCells count="4">
    <mergeCell ref="A24:B24"/>
    <mergeCell ref="A25:B25"/>
    <mergeCell ref="A26:B26"/>
    <mergeCell ref="A27:B27"/>
  </mergeCell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636F-59A3-468F-BE70-60828BE6C7DA}">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401</v>
      </c>
    </row>
    <row r="3" spans="1:3" ht="15.75" x14ac:dyDescent="0.25">
      <c r="A3" s="31"/>
      <c r="B3" s="49" t="s">
        <v>402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303</v>
      </c>
      <c r="C11" s="36">
        <f>11.13*1</f>
        <v>11.13</v>
      </c>
    </row>
    <row r="12" spans="1:3" ht="63.75" thickBot="1" x14ac:dyDescent="0.3">
      <c r="A12" s="33">
        <v>1114</v>
      </c>
      <c r="B12" s="37" t="s">
        <v>403</v>
      </c>
      <c r="C12" s="36">
        <f>13.46*72</f>
        <v>969.12000000000012</v>
      </c>
    </row>
    <row r="13" spans="1:3" ht="63.75" thickBot="1" x14ac:dyDescent="0.3">
      <c r="A13" s="33">
        <v>1114</v>
      </c>
      <c r="B13" s="37" t="s">
        <v>404</v>
      </c>
      <c r="C13" s="36">
        <f t="shared" ref="C13:C17" si="0">13.46*72</f>
        <v>969.12000000000012</v>
      </c>
    </row>
    <row r="14" spans="1:3" ht="63.75" thickBot="1" x14ac:dyDescent="0.3">
      <c r="A14" s="33">
        <v>1114</v>
      </c>
      <c r="B14" s="37" t="s">
        <v>405</v>
      </c>
      <c r="C14" s="36">
        <f t="shared" si="0"/>
        <v>969.12000000000012</v>
      </c>
    </row>
    <row r="15" spans="1:3" ht="63.75" thickBot="1" x14ac:dyDescent="0.3">
      <c r="A15" s="33">
        <v>1114</v>
      </c>
      <c r="B15" s="37" t="s">
        <v>406</v>
      </c>
      <c r="C15" s="36">
        <f t="shared" si="0"/>
        <v>969.12000000000012</v>
      </c>
    </row>
    <row r="16" spans="1:3" ht="63.75" thickBot="1" x14ac:dyDescent="0.3">
      <c r="A16" s="33">
        <v>1114</v>
      </c>
      <c r="B16" s="37" t="s">
        <v>407</v>
      </c>
      <c r="C16" s="36">
        <f>13.46*72</f>
        <v>969.12000000000012</v>
      </c>
    </row>
    <row r="17" spans="1:3" ht="63.75" thickBot="1" x14ac:dyDescent="0.3">
      <c r="A17" s="33">
        <v>1114</v>
      </c>
      <c r="B17" s="37" t="s">
        <v>408</v>
      </c>
      <c r="C17" s="36">
        <f t="shared" si="0"/>
        <v>969.12000000000012</v>
      </c>
    </row>
    <row r="18" spans="1:3" ht="63.75" thickBot="1" x14ac:dyDescent="0.3">
      <c r="A18" s="33">
        <v>1114</v>
      </c>
      <c r="B18" s="37" t="s">
        <v>409</v>
      </c>
      <c r="C18" s="36">
        <f>16.8*48</f>
        <v>806.40000000000009</v>
      </c>
    </row>
    <row r="19" spans="1:3" ht="16.5" thickBot="1" x14ac:dyDescent="0.3">
      <c r="A19" s="33"/>
      <c r="B19" s="37"/>
      <c r="C19" s="36"/>
    </row>
    <row r="20" spans="1:3" ht="16.5" thickBot="1" x14ac:dyDescent="0.3">
      <c r="A20" s="33">
        <v>1114</v>
      </c>
      <c r="B20" s="37" t="s">
        <v>282</v>
      </c>
      <c r="C20" s="105">
        <f>SUM(C11:C18)</f>
        <v>6632.25</v>
      </c>
    </row>
    <row r="21" spans="1:3" ht="16.5" thickBot="1" x14ac:dyDescent="0.3">
      <c r="A21" s="33">
        <v>1210</v>
      </c>
      <c r="B21" s="81" t="s">
        <v>283</v>
      </c>
      <c r="C21" s="144">
        <f>ROUND(C20*23.59%,2)</f>
        <v>1564.55</v>
      </c>
    </row>
    <row r="22" spans="1:3" ht="16.5" thickBot="1" x14ac:dyDescent="0.3">
      <c r="A22" s="34"/>
      <c r="B22" s="39" t="s">
        <v>8</v>
      </c>
      <c r="C22" s="92">
        <f>C20+C21</f>
        <v>8196.7999999999993</v>
      </c>
    </row>
    <row r="23" spans="1:3" ht="16.5" thickBot="1" x14ac:dyDescent="0.3">
      <c r="A23" s="34"/>
      <c r="B23" s="33" t="s">
        <v>9</v>
      </c>
      <c r="C23" s="36" t="s">
        <v>4</v>
      </c>
    </row>
    <row r="24" spans="1:3" ht="16.5" thickBot="1" x14ac:dyDescent="0.3">
      <c r="A24" s="34"/>
      <c r="B24" s="39" t="s">
        <v>17</v>
      </c>
      <c r="C24" s="36">
        <f>ROUND((C22*10%),2)</f>
        <v>819.68</v>
      </c>
    </row>
    <row r="25" spans="1:3" ht="16.5" thickBot="1" x14ac:dyDescent="0.3">
      <c r="A25" s="33"/>
      <c r="B25" s="45" t="s">
        <v>18</v>
      </c>
      <c r="C25" s="36">
        <f>ROUND((SUM(C22,C24)),2)</f>
        <v>9016.48</v>
      </c>
    </row>
    <row r="26" spans="1:3" ht="16.5" thickBot="1" x14ac:dyDescent="0.3">
      <c r="A26" s="252" t="s">
        <v>19</v>
      </c>
      <c r="B26" s="253"/>
      <c r="C26" s="89">
        <v>1</v>
      </c>
    </row>
    <row r="27" spans="1:3" ht="16.5" thickBot="1" x14ac:dyDescent="0.3">
      <c r="A27" s="252" t="s">
        <v>20</v>
      </c>
      <c r="B27" s="253"/>
      <c r="C27" s="47">
        <f>C25</f>
        <v>9016.48</v>
      </c>
    </row>
    <row r="28" spans="1:3" ht="16.5" thickBot="1" x14ac:dyDescent="0.3">
      <c r="A28" s="252" t="s">
        <v>21</v>
      </c>
      <c r="B28" s="253"/>
      <c r="C28" s="88">
        <v>1</v>
      </c>
    </row>
    <row r="29" spans="1:3" ht="16.5" thickBot="1" x14ac:dyDescent="0.3">
      <c r="A29" s="252" t="s">
        <v>22</v>
      </c>
      <c r="B29" s="253"/>
      <c r="C29" s="47">
        <f>C28*C27</f>
        <v>9016.48</v>
      </c>
    </row>
  </sheetData>
  <mergeCells count="4">
    <mergeCell ref="A26:B26"/>
    <mergeCell ref="A27:B27"/>
    <mergeCell ref="A28:B28"/>
    <mergeCell ref="A29:B29"/>
  </mergeCell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EB74-874A-4068-A058-E500F1CB4FEE}">
  <sheetPr>
    <tabColor theme="9" tint="0.79998168889431442"/>
  </sheetPr>
  <dimension ref="A1:C30"/>
  <sheetViews>
    <sheetView topLeftCell="A12" zoomScale="70" zoomScaleNormal="70" workbookViewId="0">
      <selection activeCell="C26" sqref="C26"/>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401</v>
      </c>
    </row>
    <row r="3" spans="1:3" ht="15.75" x14ac:dyDescent="0.25">
      <c r="A3" s="31"/>
      <c r="B3" s="49" t="s">
        <v>410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356</v>
      </c>
      <c r="C10" s="33"/>
    </row>
    <row r="11" spans="1:3" ht="63.75" thickBot="1" x14ac:dyDescent="0.3">
      <c r="A11" s="33">
        <v>1114</v>
      </c>
      <c r="B11" s="37" t="s">
        <v>418</v>
      </c>
      <c r="C11" s="36">
        <f>13.46*80</f>
        <v>1076.8000000000002</v>
      </c>
    </row>
    <row r="12" spans="1:3" ht="63.75" thickBot="1" x14ac:dyDescent="0.3">
      <c r="A12" s="33">
        <v>1114</v>
      </c>
      <c r="B12" s="37" t="s">
        <v>411</v>
      </c>
      <c r="C12" s="36">
        <f>13.46*272</f>
        <v>3661.1200000000003</v>
      </c>
    </row>
    <row r="13" spans="1:3" ht="63.75" thickBot="1" x14ac:dyDescent="0.3">
      <c r="A13" s="33">
        <v>1114</v>
      </c>
      <c r="B13" s="37" t="s">
        <v>412</v>
      </c>
      <c r="C13" s="36">
        <f t="shared" ref="C13:C17" si="0">13.46*272</f>
        <v>3661.1200000000003</v>
      </c>
    </row>
    <row r="14" spans="1:3" ht="63.75" thickBot="1" x14ac:dyDescent="0.3">
      <c r="A14" s="33">
        <v>1114</v>
      </c>
      <c r="B14" s="37" t="s">
        <v>413</v>
      </c>
      <c r="C14" s="36">
        <f t="shared" si="0"/>
        <v>3661.1200000000003</v>
      </c>
    </row>
    <row r="15" spans="1:3" ht="63.75" thickBot="1" x14ac:dyDescent="0.3">
      <c r="A15" s="33">
        <v>1114</v>
      </c>
      <c r="B15" s="37" t="s">
        <v>414</v>
      </c>
      <c r="C15" s="36">
        <f t="shared" si="0"/>
        <v>3661.1200000000003</v>
      </c>
    </row>
    <row r="16" spans="1:3" ht="63.75" thickBot="1" x14ac:dyDescent="0.3">
      <c r="A16" s="33">
        <v>1114</v>
      </c>
      <c r="B16" s="37" t="s">
        <v>415</v>
      </c>
      <c r="C16" s="36">
        <f t="shared" si="0"/>
        <v>3661.1200000000003</v>
      </c>
    </row>
    <row r="17" spans="1:3" ht="63.75" thickBot="1" x14ac:dyDescent="0.3">
      <c r="A17" s="33">
        <v>1114</v>
      </c>
      <c r="B17" s="37" t="s">
        <v>416</v>
      </c>
      <c r="C17" s="36">
        <f t="shared" si="0"/>
        <v>3661.1200000000003</v>
      </c>
    </row>
    <row r="18" spans="1:3" ht="63.75" thickBot="1" x14ac:dyDescent="0.3">
      <c r="A18" s="33">
        <v>1114</v>
      </c>
      <c r="B18" s="37" t="s">
        <v>419</v>
      </c>
      <c r="C18" s="36">
        <f>16.8*144</f>
        <v>2419.2000000000003</v>
      </c>
    </row>
    <row r="19" spans="1:3" ht="16.5" thickBot="1" x14ac:dyDescent="0.3">
      <c r="A19" s="33">
        <v>1114</v>
      </c>
      <c r="B19" s="145" t="s">
        <v>417</v>
      </c>
      <c r="C19" s="36">
        <f>13.46*300</f>
        <v>4038.0000000000005</v>
      </c>
    </row>
    <row r="20" spans="1:3" ht="16.5" thickBot="1" x14ac:dyDescent="0.3">
      <c r="A20" s="33"/>
      <c r="B20" s="37"/>
      <c r="C20" s="36"/>
    </row>
    <row r="21" spans="1:3" ht="16.5" thickBot="1" x14ac:dyDescent="0.3">
      <c r="A21" s="33">
        <v>1114</v>
      </c>
      <c r="B21" s="37" t="s">
        <v>282</v>
      </c>
      <c r="C21" s="105">
        <f>SUM(C11:C19)</f>
        <v>29500.720000000001</v>
      </c>
    </row>
    <row r="22" spans="1:3" ht="16.5" thickBot="1" x14ac:dyDescent="0.3">
      <c r="A22" s="33">
        <v>1210</v>
      </c>
      <c r="B22" s="81" t="s">
        <v>283</v>
      </c>
      <c r="C22" s="144">
        <f>ROUND(C21*23.59%,2)</f>
        <v>6959.22</v>
      </c>
    </row>
    <row r="23" spans="1:3" ht="16.5" thickBot="1" x14ac:dyDescent="0.3">
      <c r="A23" s="34"/>
      <c r="B23" s="39" t="s">
        <v>8</v>
      </c>
      <c r="C23" s="92">
        <f>C21+C22</f>
        <v>36459.94</v>
      </c>
    </row>
    <row r="24" spans="1:3" ht="16.5" thickBot="1" x14ac:dyDescent="0.3">
      <c r="A24" s="34"/>
      <c r="B24" s="33" t="s">
        <v>9</v>
      </c>
      <c r="C24" s="36" t="s">
        <v>4</v>
      </c>
    </row>
    <row r="25" spans="1:3" ht="16.5" thickBot="1" x14ac:dyDescent="0.3">
      <c r="A25" s="34"/>
      <c r="B25" s="39" t="s">
        <v>17</v>
      </c>
      <c r="C25" s="36">
        <f>ROUND((C23*10%),2)</f>
        <v>3645.99</v>
      </c>
    </row>
    <row r="26" spans="1:3" ht="16.5" thickBot="1" x14ac:dyDescent="0.3">
      <c r="A26" s="33"/>
      <c r="B26" s="45" t="s">
        <v>18</v>
      </c>
      <c r="C26" s="36">
        <f>ROUND((SUM(C23,C25)),2)</f>
        <v>40105.93</v>
      </c>
    </row>
    <row r="27" spans="1:3" ht="16.5" thickBot="1" x14ac:dyDescent="0.3">
      <c r="A27" s="252" t="s">
        <v>19</v>
      </c>
      <c r="B27" s="253"/>
      <c r="C27" s="89">
        <v>1</v>
      </c>
    </row>
    <row r="28" spans="1:3" ht="16.5" thickBot="1" x14ac:dyDescent="0.3">
      <c r="A28" s="252" t="s">
        <v>20</v>
      </c>
      <c r="B28" s="253"/>
      <c r="C28" s="47">
        <f>C26</f>
        <v>40105.93</v>
      </c>
    </row>
    <row r="29" spans="1:3" ht="16.5" thickBot="1" x14ac:dyDescent="0.3">
      <c r="A29" s="252" t="s">
        <v>21</v>
      </c>
      <c r="B29" s="253"/>
      <c r="C29" s="88">
        <v>1</v>
      </c>
    </row>
    <row r="30" spans="1:3" ht="16.5" thickBot="1" x14ac:dyDescent="0.3">
      <c r="A30" s="252" t="s">
        <v>22</v>
      </c>
      <c r="B30" s="253"/>
      <c r="C30" s="47">
        <f>C29*C28</f>
        <v>40105.93</v>
      </c>
    </row>
  </sheetData>
  <mergeCells count="4">
    <mergeCell ref="A27:B27"/>
    <mergeCell ref="A28:B28"/>
    <mergeCell ref="A29:B29"/>
    <mergeCell ref="A30:B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3147-FC69-425C-AB8E-B17A6F8D94B5}">
  <sheetPr>
    <tabColor theme="9" tint="0.79998168889431442"/>
  </sheetPr>
  <dimension ref="A1:C41"/>
  <sheetViews>
    <sheetView zoomScale="70" zoomScaleNormal="70" workbookViewId="0">
      <selection activeCell="B36" sqref="B36"/>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31"/>
      <c r="B3" s="32" t="s">
        <v>186</v>
      </c>
      <c r="C3" s="32"/>
    </row>
    <row r="4" spans="1:3" ht="15.75" x14ac:dyDescent="0.25">
      <c r="A4" s="31" t="s">
        <v>71</v>
      </c>
      <c r="B4" s="29" t="s">
        <v>187</v>
      </c>
      <c r="C4"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9.63*0.25</f>
        <v>2.4075000000000002</v>
      </c>
    </row>
    <row r="12" spans="1:3" ht="15.75" x14ac:dyDescent="0.25">
      <c r="A12" s="93">
        <v>2341</v>
      </c>
      <c r="B12" s="114" t="s">
        <v>190</v>
      </c>
      <c r="C12" s="112">
        <v>3.3</v>
      </c>
    </row>
    <row r="13" spans="1:3" ht="15.75" x14ac:dyDescent="0.25">
      <c r="A13" s="116">
        <v>2239</v>
      </c>
      <c r="B13" s="117" t="s">
        <v>191</v>
      </c>
      <c r="C13" s="112">
        <v>0.23</v>
      </c>
    </row>
    <row r="14" spans="1:3" ht="15.75" x14ac:dyDescent="0.25">
      <c r="A14" s="113"/>
      <c r="B14" s="118" t="s">
        <v>39</v>
      </c>
      <c r="C14" s="119">
        <f>SUM(C11:C13)</f>
        <v>5.9375</v>
      </c>
    </row>
    <row r="15" spans="1:3" ht="15.75" x14ac:dyDescent="0.25">
      <c r="A15" s="113"/>
      <c r="B15" s="94" t="s">
        <v>40</v>
      </c>
      <c r="C15" s="120"/>
    </row>
    <row r="16" spans="1:3" ht="15.75" x14ac:dyDescent="0.25">
      <c r="A16" s="113"/>
      <c r="B16" s="121" t="s">
        <v>192</v>
      </c>
      <c r="C16" s="120"/>
    </row>
    <row r="17" spans="1:3" ht="94.5" x14ac:dyDescent="0.25">
      <c r="A17" s="93">
        <v>1100</v>
      </c>
      <c r="B17" s="114" t="s">
        <v>193</v>
      </c>
      <c r="C17" s="119">
        <f>ROUND((9.63*0.5),2)</f>
        <v>4.82</v>
      </c>
    </row>
    <row r="18" spans="1:3" ht="15.75" x14ac:dyDescent="0.25">
      <c r="A18" s="93">
        <v>2341</v>
      </c>
      <c r="B18" s="94" t="s">
        <v>194</v>
      </c>
      <c r="C18" s="120">
        <v>0.38</v>
      </c>
    </row>
    <row r="19" spans="1:3" ht="15.75" x14ac:dyDescent="0.25">
      <c r="A19" s="93"/>
      <c r="B19" s="122" t="s">
        <v>195</v>
      </c>
      <c r="C19" s="120"/>
    </row>
    <row r="20" spans="1:3" ht="94.5" x14ac:dyDescent="0.25">
      <c r="A20" s="93">
        <v>1100</v>
      </c>
      <c r="B20" s="114" t="s">
        <v>196</v>
      </c>
      <c r="C20" s="119">
        <f>ROUND((9.63*0.75),2)</f>
        <v>7.22</v>
      </c>
    </row>
    <row r="21" spans="1:3" ht="15.75" x14ac:dyDescent="0.25">
      <c r="A21" s="93">
        <v>2341</v>
      </c>
      <c r="B21" s="94" t="s">
        <v>194</v>
      </c>
      <c r="C21" s="119">
        <v>2.9</v>
      </c>
    </row>
    <row r="22" spans="1:3" ht="15.75" x14ac:dyDescent="0.25">
      <c r="A22" s="93"/>
      <c r="B22" s="122" t="s">
        <v>197</v>
      </c>
      <c r="C22" s="120"/>
    </row>
    <row r="23" spans="1:3" ht="94.5" x14ac:dyDescent="0.25">
      <c r="A23" s="93">
        <v>1100</v>
      </c>
      <c r="B23" s="114" t="s">
        <v>198</v>
      </c>
      <c r="C23" s="119">
        <f>ROUND((9.63*0.133),2)</f>
        <v>1.28</v>
      </c>
    </row>
    <row r="24" spans="1:3" ht="15.75" x14ac:dyDescent="0.25">
      <c r="A24" s="93"/>
      <c r="B24" s="118" t="s">
        <v>199</v>
      </c>
      <c r="C24" s="119">
        <f>C17+C18+C20+C21+C23</f>
        <v>16.600000000000001</v>
      </c>
    </row>
    <row r="25" spans="1:3" ht="15.75" x14ac:dyDescent="0.25">
      <c r="A25" s="123"/>
      <c r="B25" s="123" t="s">
        <v>51</v>
      </c>
      <c r="C25" s="120"/>
    </row>
    <row r="26" spans="1:3" ht="94.5" x14ac:dyDescent="0.25">
      <c r="A26" s="93">
        <v>1100</v>
      </c>
      <c r="B26" s="94" t="s">
        <v>200</v>
      </c>
      <c r="C26" s="119">
        <f>ROUND((12.97*0.083),2)</f>
        <v>1.08</v>
      </c>
    </row>
    <row r="27" spans="1:3" ht="15.75" x14ac:dyDescent="0.25">
      <c r="A27" s="113"/>
      <c r="B27" s="118" t="s">
        <v>55</v>
      </c>
      <c r="C27" s="119">
        <f>C26</f>
        <v>1.08</v>
      </c>
    </row>
    <row r="28" spans="1:3" ht="15.75" x14ac:dyDescent="0.25">
      <c r="A28" s="113"/>
      <c r="B28" s="118" t="s">
        <v>8</v>
      </c>
      <c r="C28" s="119">
        <f>SUM(C14,C24,C27)</f>
        <v>23.6175</v>
      </c>
    </row>
    <row r="29" spans="1:3" ht="15.75" x14ac:dyDescent="0.25">
      <c r="A29" s="113"/>
      <c r="B29" s="112" t="s">
        <v>9</v>
      </c>
      <c r="C29" s="112" t="s">
        <v>4</v>
      </c>
    </row>
    <row r="30" spans="1:3" ht="15.75" x14ac:dyDescent="0.25">
      <c r="A30" s="112">
        <v>1100</v>
      </c>
      <c r="B30" s="124" t="s">
        <v>10</v>
      </c>
      <c r="C30" s="115">
        <v>0.23</v>
      </c>
    </row>
    <row r="31" spans="1:3" ht="15.75" x14ac:dyDescent="0.25">
      <c r="A31" s="125">
        <v>2210</v>
      </c>
      <c r="B31" s="126" t="s">
        <v>11</v>
      </c>
      <c r="C31" s="120">
        <v>0.08</v>
      </c>
    </row>
    <row r="32" spans="1:3" ht="15.75" x14ac:dyDescent="0.25">
      <c r="A32" s="125">
        <v>2220</v>
      </c>
      <c r="B32" s="126" t="s">
        <v>12</v>
      </c>
      <c r="C32" s="112">
        <v>0.28999999999999998</v>
      </c>
    </row>
    <row r="33" spans="1:3" ht="15.75" x14ac:dyDescent="0.25">
      <c r="A33" s="125">
        <v>2240</v>
      </c>
      <c r="B33" s="126" t="s">
        <v>56</v>
      </c>
      <c r="C33" s="112">
        <v>0.77</v>
      </c>
    </row>
    <row r="34" spans="1:3" ht="15.75" x14ac:dyDescent="0.25">
      <c r="A34" s="125">
        <v>2310</v>
      </c>
      <c r="B34" s="126" t="s">
        <v>15</v>
      </c>
      <c r="C34" s="115">
        <v>0.14000000000000001</v>
      </c>
    </row>
    <row r="35" spans="1:3" ht="15.75" x14ac:dyDescent="0.25">
      <c r="A35" s="120">
        <v>5200</v>
      </c>
      <c r="B35" s="127" t="s">
        <v>201</v>
      </c>
      <c r="C35" s="115">
        <v>0.14000000000000001</v>
      </c>
    </row>
    <row r="36" spans="1:3" ht="15.75" x14ac:dyDescent="0.25">
      <c r="A36" s="113"/>
      <c r="B36" s="118" t="s">
        <v>17</v>
      </c>
      <c r="C36" s="115">
        <f>SUM(C30:C35)</f>
        <v>1.6500000000000004</v>
      </c>
    </row>
    <row r="37" spans="1:3" ht="15.75" x14ac:dyDescent="0.25">
      <c r="A37" s="112"/>
      <c r="B37" s="128" t="s">
        <v>18</v>
      </c>
      <c r="C37" s="115">
        <f>SUM(C28,C36)</f>
        <v>25.267499999999998</v>
      </c>
    </row>
    <row r="38" spans="1:3" ht="15.75" x14ac:dyDescent="0.25">
      <c r="A38" s="258" t="s">
        <v>19</v>
      </c>
      <c r="B38" s="258"/>
      <c r="C38" s="120">
        <v>1</v>
      </c>
    </row>
    <row r="39" spans="1:3" ht="15.75" x14ac:dyDescent="0.25">
      <c r="A39" s="258" t="s">
        <v>20</v>
      </c>
      <c r="B39" s="258"/>
      <c r="C39" s="119">
        <f>C37</f>
        <v>25.267499999999998</v>
      </c>
    </row>
    <row r="40" spans="1:3" ht="15.75" x14ac:dyDescent="0.25">
      <c r="A40" s="258" t="s">
        <v>21</v>
      </c>
      <c r="B40" s="258"/>
      <c r="C40" s="120">
        <v>1933</v>
      </c>
    </row>
    <row r="41" spans="1:3" ht="15.75" x14ac:dyDescent="0.25">
      <c r="A41" s="258" t="s">
        <v>22</v>
      </c>
      <c r="B41" s="258"/>
      <c r="C41" s="119">
        <f>C40*C39</f>
        <v>48842.077499999999</v>
      </c>
    </row>
  </sheetData>
  <mergeCells count="5">
    <mergeCell ref="B2:C2"/>
    <mergeCell ref="A38:B38"/>
    <mergeCell ref="A39:B39"/>
    <mergeCell ref="A40:B40"/>
    <mergeCell ref="A41:B41"/>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51DB8-F90E-418F-B8F8-7D76F36BCDC0}">
  <sheetPr>
    <tabColor theme="9" tint="0.79998168889431442"/>
  </sheetPr>
  <dimension ref="A1:C29"/>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4.5" x14ac:dyDescent="0.25">
      <c r="A2" s="31" t="s">
        <v>68</v>
      </c>
      <c r="B2" s="49" t="s">
        <v>401</v>
      </c>
    </row>
    <row r="3" spans="1:3" ht="15.75" x14ac:dyDescent="0.25">
      <c r="A3" s="31"/>
      <c r="B3" s="49" t="s">
        <v>420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421</v>
      </c>
      <c r="C10" s="33"/>
    </row>
    <row r="11" spans="1:3" ht="63.75" thickBot="1" x14ac:dyDescent="0.3">
      <c r="A11" s="33">
        <v>1114</v>
      </c>
      <c r="B11" s="37" t="s">
        <v>303</v>
      </c>
      <c r="C11" s="36">
        <f>11.13*1</f>
        <v>11.13</v>
      </c>
    </row>
    <row r="12" spans="1:3" ht="63.75" thickBot="1" x14ac:dyDescent="0.3">
      <c r="A12" s="33">
        <v>1114</v>
      </c>
      <c r="B12" s="37" t="s">
        <v>422</v>
      </c>
      <c r="C12" s="36">
        <f>13.46*112</f>
        <v>1507.52</v>
      </c>
    </row>
    <row r="13" spans="1:3" ht="63.75" thickBot="1" x14ac:dyDescent="0.3">
      <c r="A13" s="33">
        <v>1114</v>
      </c>
      <c r="B13" s="37" t="s">
        <v>423</v>
      </c>
      <c r="C13" s="36">
        <f t="shared" ref="C13:C17" si="0">13.46*112</f>
        <v>1507.52</v>
      </c>
    </row>
    <row r="14" spans="1:3" ht="63.75" thickBot="1" x14ac:dyDescent="0.3">
      <c r="A14" s="33">
        <v>1114</v>
      </c>
      <c r="B14" s="37" t="s">
        <v>424</v>
      </c>
      <c r="C14" s="36">
        <f t="shared" si="0"/>
        <v>1507.52</v>
      </c>
    </row>
    <row r="15" spans="1:3" ht="63.75" thickBot="1" x14ac:dyDescent="0.3">
      <c r="A15" s="33">
        <v>1114</v>
      </c>
      <c r="B15" s="37" t="s">
        <v>425</v>
      </c>
      <c r="C15" s="36">
        <f t="shared" si="0"/>
        <v>1507.52</v>
      </c>
    </row>
    <row r="16" spans="1:3" ht="63.75" thickBot="1" x14ac:dyDescent="0.3">
      <c r="A16" s="33">
        <v>1114</v>
      </c>
      <c r="B16" s="37" t="s">
        <v>426</v>
      </c>
      <c r="C16" s="36">
        <f t="shared" si="0"/>
        <v>1507.52</v>
      </c>
    </row>
    <row r="17" spans="1:3" ht="63.75" thickBot="1" x14ac:dyDescent="0.3">
      <c r="A17" s="33">
        <v>1114</v>
      </c>
      <c r="B17" s="37" t="s">
        <v>427</v>
      </c>
      <c r="C17" s="36">
        <f t="shared" si="0"/>
        <v>1507.52</v>
      </c>
    </row>
    <row r="18" spans="1:3" ht="63.75" thickBot="1" x14ac:dyDescent="0.3">
      <c r="A18" s="33">
        <v>1114</v>
      </c>
      <c r="B18" s="37" t="s">
        <v>409</v>
      </c>
      <c r="C18" s="36">
        <f>16.8*48</f>
        <v>806.40000000000009</v>
      </c>
    </row>
    <row r="19" spans="1:3" ht="16.5" thickBot="1" x14ac:dyDescent="0.3">
      <c r="A19" s="33"/>
      <c r="B19" s="37"/>
      <c r="C19" s="36"/>
    </row>
    <row r="20" spans="1:3" ht="16.5" thickBot="1" x14ac:dyDescent="0.3">
      <c r="A20" s="33">
        <v>1114</v>
      </c>
      <c r="B20" s="37" t="s">
        <v>282</v>
      </c>
      <c r="C20" s="105">
        <f>SUM(C11:C18)</f>
        <v>9862.6500000000015</v>
      </c>
    </row>
    <row r="21" spans="1:3" ht="16.5" thickBot="1" x14ac:dyDescent="0.3">
      <c r="A21" s="33">
        <v>1210</v>
      </c>
      <c r="B21" s="81" t="s">
        <v>283</v>
      </c>
      <c r="C21" s="144">
        <f>ROUND(C20*23.59%,2)</f>
        <v>2326.6</v>
      </c>
    </row>
    <row r="22" spans="1:3" ht="16.5" thickBot="1" x14ac:dyDescent="0.3">
      <c r="A22" s="34"/>
      <c r="B22" s="39" t="s">
        <v>8</v>
      </c>
      <c r="C22" s="92">
        <f>C20+C21</f>
        <v>12189.250000000002</v>
      </c>
    </row>
    <row r="23" spans="1:3" ht="16.5" thickBot="1" x14ac:dyDescent="0.3">
      <c r="A23" s="34"/>
      <c r="B23" s="33" t="s">
        <v>9</v>
      </c>
      <c r="C23" s="36" t="s">
        <v>4</v>
      </c>
    </row>
    <row r="24" spans="1:3" ht="16.5" thickBot="1" x14ac:dyDescent="0.3">
      <c r="A24" s="34"/>
      <c r="B24" s="39" t="s">
        <v>17</v>
      </c>
      <c r="C24" s="36">
        <f>ROUND((C22*10%),2)</f>
        <v>1218.93</v>
      </c>
    </row>
    <row r="25" spans="1:3" ht="16.5" thickBot="1" x14ac:dyDescent="0.3">
      <c r="A25" s="33"/>
      <c r="B25" s="45" t="s">
        <v>18</v>
      </c>
      <c r="C25" s="36">
        <f>ROUND((SUM(C22,C24)),2)</f>
        <v>13408.18</v>
      </c>
    </row>
    <row r="26" spans="1:3" ht="16.5" thickBot="1" x14ac:dyDescent="0.3">
      <c r="A26" s="252" t="s">
        <v>19</v>
      </c>
      <c r="B26" s="253"/>
      <c r="C26" s="89">
        <v>1</v>
      </c>
    </row>
    <row r="27" spans="1:3" ht="16.5" thickBot="1" x14ac:dyDescent="0.3">
      <c r="A27" s="252" t="s">
        <v>20</v>
      </c>
      <c r="B27" s="253"/>
      <c r="C27" s="47">
        <f>C25</f>
        <v>13408.18</v>
      </c>
    </row>
    <row r="28" spans="1:3" ht="16.5" thickBot="1" x14ac:dyDescent="0.3">
      <c r="A28" s="252" t="s">
        <v>21</v>
      </c>
      <c r="B28" s="253"/>
      <c r="C28" s="88">
        <v>1</v>
      </c>
    </row>
    <row r="29" spans="1:3" ht="16.5" thickBot="1" x14ac:dyDescent="0.3">
      <c r="A29" s="252" t="s">
        <v>22</v>
      </c>
      <c r="B29" s="253"/>
      <c r="C29" s="47">
        <f>C28*C27</f>
        <v>13408.18</v>
      </c>
    </row>
  </sheetData>
  <mergeCells count="4">
    <mergeCell ref="A26:B26"/>
    <mergeCell ref="A27:B27"/>
    <mergeCell ref="A28:B28"/>
    <mergeCell ref="A29:B29"/>
  </mergeCell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9528C-CC0E-4A33-93B7-36D0B8C7EA8B}">
  <sheetPr>
    <tabColor theme="9" tint="0.79998168889431442"/>
  </sheetPr>
  <dimension ref="A1:C29"/>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434</v>
      </c>
    </row>
    <row r="3" spans="1:3" ht="31.5" customHeight="1" x14ac:dyDescent="0.25">
      <c r="A3" s="31"/>
      <c r="B3" s="49" t="s">
        <v>428</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63.75" thickBot="1" x14ac:dyDescent="0.3">
      <c r="A12" s="33">
        <v>1114</v>
      </c>
      <c r="B12" s="37" t="s">
        <v>435</v>
      </c>
      <c r="C12" s="36">
        <f>13.46*16</f>
        <v>215.36</v>
      </c>
    </row>
    <row r="13" spans="1:3" ht="63.75" thickBot="1" x14ac:dyDescent="0.3">
      <c r="A13" s="33">
        <v>1114</v>
      </c>
      <c r="B13" s="37" t="s">
        <v>436</v>
      </c>
      <c r="C13" s="36">
        <f t="shared" ref="C13:C18" si="0">13.46*16</f>
        <v>215.36</v>
      </c>
    </row>
    <row r="14" spans="1:3" ht="63.75" thickBot="1" x14ac:dyDescent="0.3">
      <c r="A14" s="33">
        <v>1114</v>
      </c>
      <c r="B14" s="37" t="s">
        <v>297</v>
      </c>
      <c r="C14" s="36">
        <f t="shared" si="0"/>
        <v>215.36</v>
      </c>
    </row>
    <row r="15" spans="1:3" ht="63.75" thickBot="1" x14ac:dyDescent="0.3">
      <c r="A15" s="33">
        <v>1114</v>
      </c>
      <c r="B15" s="37" t="s">
        <v>437</v>
      </c>
      <c r="C15" s="36">
        <f t="shared" si="0"/>
        <v>215.36</v>
      </c>
    </row>
    <row r="16" spans="1:3" ht="63.75" thickBot="1" x14ac:dyDescent="0.3">
      <c r="A16" s="33">
        <v>1114</v>
      </c>
      <c r="B16" s="37" t="s">
        <v>438</v>
      </c>
      <c r="C16" s="36">
        <f t="shared" si="0"/>
        <v>215.36</v>
      </c>
    </row>
    <row r="17" spans="1:3" ht="63.75" thickBot="1" x14ac:dyDescent="0.3">
      <c r="A17" s="33">
        <v>1114</v>
      </c>
      <c r="B17" s="37" t="s">
        <v>298</v>
      </c>
      <c r="C17" s="36">
        <f t="shared" si="0"/>
        <v>215.36</v>
      </c>
    </row>
    <row r="18" spans="1:3" ht="63.75" thickBot="1" x14ac:dyDescent="0.3">
      <c r="A18" s="33">
        <v>1114</v>
      </c>
      <c r="B18" s="37" t="s">
        <v>439</v>
      </c>
      <c r="C18" s="36">
        <f t="shared" si="0"/>
        <v>215.36</v>
      </c>
    </row>
    <row r="19" spans="1:3" ht="16.5" thickBot="1" x14ac:dyDescent="0.3">
      <c r="A19" s="33"/>
      <c r="B19" s="37"/>
      <c r="C19" s="36"/>
    </row>
    <row r="20" spans="1:3" ht="16.5" thickBot="1" x14ac:dyDescent="0.3">
      <c r="A20" s="33">
        <v>1114</v>
      </c>
      <c r="B20" s="37" t="s">
        <v>282</v>
      </c>
      <c r="C20" s="105">
        <f>SUM(C11:C18)</f>
        <v>1518.65</v>
      </c>
    </row>
    <row r="21" spans="1:3" ht="16.5" thickBot="1" x14ac:dyDescent="0.3">
      <c r="A21" s="33">
        <v>1210</v>
      </c>
      <c r="B21" s="81" t="s">
        <v>283</v>
      </c>
      <c r="C21" s="144">
        <f>ROUND(C20*23.59%,2)</f>
        <v>358.25</v>
      </c>
    </row>
    <row r="22" spans="1:3" ht="16.5" thickBot="1" x14ac:dyDescent="0.3">
      <c r="A22" s="34"/>
      <c r="B22" s="39" t="s">
        <v>8</v>
      </c>
      <c r="C22" s="92">
        <f>C20+C21</f>
        <v>1876.9</v>
      </c>
    </row>
    <row r="23" spans="1:3" ht="16.5" thickBot="1" x14ac:dyDescent="0.3">
      <c r="A23" s="34"/>
      <c r="B23" s="33" t="s">
        <v>9</v>
      </c>
      <c r="C23" s="36" t="s">
        <v>4</v>
      </c>
    </row>
    <row r="24" spans="1:3" ht="16.5" thickBot="1" x14ac:dyDescent="0.3">
      <c r="A24" s="34"/>
      <c r="B24" s="39" t="s">
        <v>17</v>
      </c>
      <c r="C24" s="36">
        <f>ROUND((C22*10%),2)</f>
        <v>187.69</v>
      </c>
    </row>
    <row r="25" spans="1:3" ht="16.5" thickBot="1" x14ac:dyDescent="0.3">
      <c r="A25" s="33"/>
      <c r="B25" s="45" t="s">
        <v>18</v>
      </c>
      <c r="C25" s="36">
        <f>ROUND((SUM(C22,C24)),2)</f>
        <v>2064.59</v>
      </c>
    </row>
    <row r="26" spans="1:3" ht="16.5" thickBot="1" x14ac:dyDescent="0.3">
      <c r="A26" s="252" t="s">
        <v>19</v>
      </c>
      <c r="B26" s="253"/>
      <c r="C26" s="89">
        <v>1</v>
      </c>
    </row>
    <row r="27" spans="1:3" ht="16.5" thickBot="1" x14ac:dyDescent="0.3">
      <c r="A27" s="252" t="s">
        <v>20</v>
      </c>
      <c r="B27" s="253"/>
      <c r="C27" s="47">
        <f>C25</f>
        <v>2064.59</v>
      </c>
    </row>
    <row r="28" spans="1:3" ht="16.5" thickBot="1" x14ac:dyDescent="0.3">
      <c r="A28" s="252" t="s">
        <v>21</v>
      </c>
      <c r="B28" s="253"/>
      <c r="C28" s="88">
        <v>1</v>
      </c>
    </row>
    <row r="29" spans="1:3" ht="16.5" thickBot="1" x14ac:dyDescent="0.3">
      <c r="A29" s="252" t="s">
        <v>22</v>
      </c>
      <c r="B29" s="253"/>
      <c r="C29" s="47">
        <f>C28*C27</f>
        <v>2064.59</v>
      </c>
    </row>
  </sheetData>
  <mergeCells count="4">
    <mergeCell ref="A26:B26"/>
    <mergeCell ref="A27:B27"/>
    <mergeCell ref="A28:B28"/>
    <mergeCell ref="A29:B29"/>
  </mergeCell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9D167-F998-4444-B47A-7DCB66183650}">
  <sheetPr>
    <tabColor theme="9" tint="0.79998168889431442"/>
  </sheetPr>
  <dimension ref="A1:C25"/>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430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440</v>
      </c>
      <c r="C13" s="36">
        <f>13.46*104</f>
        <v>1399.8400000000001</v>
      </c>
    </row>
    <row r="14" spans="1:3" ht="63.75" thickBot="1" x14ac:dyDescent="0.3">
      <c r="A14" s="33">
        <v>1114</v>
      </c>
      <c r="B14" s="37" t="s">
        <v>306</v>
      </c>
      <c r="C14" s="36">
        <f>16.8*3</f>
        <v>50.400000000000006</v>
      </c>
    </row>
    <row r="15" spans="1:3" ht="16.5" thickBot="1" x14ac:dyDescent="0.3">
      <c r="A15" s="33"/>
      <c r="B15" s="37"/>
      <c r="C15" s="36"/>
    </row>
    <row r="16" spans="1:3" ht="16.5" thickBot="1" x14ac:dyDescent="0.3">
      <c r="A16" s="33">
        <v>1114</v>
      </c>
      <c r="B16" s="37" t="s">
        <v>282</v>
      </c>
      <c r="C16" s="105">
        <f>SUM(C11:C14)</f>
        <v>1472.5000000000002</v>
      </c>
    </row>
    <row r="17" spans="1:3" ht="16.5" thickBot="1" x14ac:dyDescent="0.3">
      <c r="A17" s="33">
        <v>1210</v>
      </c>
      <c r="B17" s="81" t="s">
        <v>283</v>
      </c>
      <c r="C17" s="144">
        <f>ROUND(C16*23.59%,2)</f>
        <v>347.36</v>
      </c>
    </row>
    <row r="18" spans="1:3" ht="16.5" thickBot="1" x14ac:dyDescent="0.3">
      <c r="A18" s="34"/>
      <c r="B18" s="39" t="s">
        <v>8</v>
      </c>
      <c r="C18" s="92">
        <f>C16+C17</f>
        <v>1819.8600000000001</v>
      </c>
    </row>
    <row r="19" spans="1:3" ht="16.5" thickBot="1" x14ac:dyDescent="0.3">
      <c r="A19" s="34"/>
      <c r="B19" s="33" t="s">
        <v>9</v>
      </c>
      <c r="C19" s="36" t="s">
        <v>4</v>
      </c>
    </row>
    <row r="20" spans="1:3" ht="16.5" thickBot="1" x14ac:dyDescent="0.3">
      <c r="A20" s="34"/>
      <c r="B20" s="39" t="s">
        <v>17</v>
      </c>
      <c r="C20" s="36">
        <f>ROUND((C18*10%),2)</f>
        <v>181.99</v>
      </c>
    </row>
    <row r="21" spans="1:3" ht="16.5" thickBot="1" x14ac:dyDescent="0.3">
      <c r="A21" s="33"/>
      <c r="B21" s="45" t="s">
        <v>18</v>
      </c>
      <c r="C21" s="36">
        <f>ROUND((SUM(C18,C20)),2)</f>
        <v>2001.85</v>
      </c>
    </row>
    <row r="22" spans="1:3" ht="16.5" thickBot="1" x14ac:dyDescent="0.3">
      <c r="A22" s="252" t="s">
        <v>19</v>
      </c>
      <c r="B22" s="253"/>
      <c r="C22" s="89">
        <v>1</v>
      </c>
    </row>
    <row r="23" spans="1:3" ht="16.5" thickBot="1" x14ac:dyDescent="0.3">
      <c r="A23" s="252" t="s">
        <v>20</v>
      </c>
      <c r="B23" s="253"/>
      <c r="C23" s="47">
        <f>C21</f>
        <v>2001.85</v>
      </c>
    </row>
    <row r="24" spans="1:3" ht="16.5" thickBot="1" x14ac:dyDescent="0.3">
      <c r="A24" s="252" t="s">
        <v>21</v>
      </c>
      <c r="B24" s="253"/>
      <c r="C24" s="88">
        <v>1</v>
      </c>
    </row>
    <row r="25" spans="1:3" ht="16.5" thickBot="1" x14ac:dyDescent="0.3">
      <c r="A25" s="252" t="s">
        <v>22</v>
      </c>
      <c r="B25" s="253"/>
      <c r="C25" s="47">
        <f>C24*C23</f>
        <v>2001.85</v>
      </c>
    </row>
  </sheetData>
  <mergeCells count="4">
    <mergeCell ref="A22:B22"/>
    <mergeCell ref="A23:B23"/>
    <mergeCell ref="A24:B24"/>
    <mergeCell ref="A25:B25"/>
  </mergeCell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852E-06A7-468D-BC3F-2CA1DC4D2ABD}">
  <sheetPr>
    <tabColor theme="9" tint="0.79998168889431442"/>
  </sheetPr>
  <dimension ref="A1:C21"/>
  <sheetViews>
    <sheetView zoomScale="70" zoomScaleNormal="70" workbookViewId="0">
      <selection activeCell="B11" sqref="B11"/>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customHeight="1" x14ac:dyDescent="0.25">
      <c r="A2" s="31" t="s">
        <v>68</v>
      </c>
      <c r="B2" s="49" t="s">
        <v>434</v>
      </c>
    </row>
    <row r="3" spans="1:3" ht="15.75" x14ac:dyDescent="0.25">
      <c r="A3" s="31"/>
      <c r="B3" s="49" t="s">
        <v>431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63.75" thickBot="1" x14ac:dyDescent="0.3">
      <c r="A10" s="33">
        <v>1114</v>
      </c>
      <c r="B10" s="37" t="s">
        <v>441</v>
      </c>
      <c r="C10" s="36">
        <f>16.8*88</f>
        <v>1478.4</v>
      </c>
    </row>
    <row r="11" spans="1:3" ht="16.5" thickBot="1" x14ac:dyDescent="0.3">
      <c r="A11" s="33"/>
      <c r="B11" s="37"/>
      <c r="C11" s="36"/>
    </row>
    <row r="12" spans="1:3" ht="16.5" thickBot="1" x14ac:dyDescent="0.3">
      <c r="A12" s="33">
        <v>1114</v>
      </c>
      <c r="B12" s="37" t="s">
        <v>282</v>
      </c>
      <c r="C12" s="105">
        <f>SUM(C10:C10)</f>
        <v>1478.4</v>
      </c>
    </row>
    <row r="13" spans="1:3" ht="16.5" thickBot="1" x14ac:dyDescent="0.3">
      <c r="A13" s="33">
        <v>1210</v>
      </c>
      <c r="B13" s="81" t="s">
        <v>283</v>
      </c>
      <c r="C13" s="144">
        <f>ROUND(C12*23.59%,2)</f>
        <v>348.75</v>
      </c>
    </row>
    <row r="14" spans="1:3" ht="16.5" thickBot="1" x14ac:dyDescent="0.3">
      <c r="A14" s="34"/>
      <c r="B14" s="39" t="s">
        <v>8</v>
      </c>
      <c r="C14" s="92">
        <f>C12+C13</f>
        <v>1827.15</v>
      </c>
    </row>
    <row r="15" spans="1:3" ht="16.5" thickBot="1" x14ac:dyDescent="0.3">
      <c r="A15" s="34"/>
      <c r="B15" s="33" t="s">
        <v>9</v>
      </c>
      <c r="C15" s="36" t="s">
        <v>4</v>
      </c>
    </row>
    <row r="16" spans="1:3" ht="16.5" thickBot="1" x14ac:dyDescent="0.3">
      <c r="A16" s="34"/>
      <c r="B16" s="39" t="s">
        <v>17</v>
      </c>
      <c r="C16" s="36">
        <f>ROUND((C14*10%),2)</f>
        <v>182.72</v>
      </c>
    </row>
    <row r="17" spans="1:3" ht="16.5" thickBot="1" x14ac:dyDescent="0.3">
      <c r="A17" s="33"/>
      <c r="B17" s="45" t="s">
        <v>18</v>
      </c>
      <c r="C17" s="36">
        <f>ROUND((SUM(C14,C16)),2)</f>
        <v>2009.87</v>
      </c>
    </row>
    <row r="18" spans="1:3" ht="16.5" thickBot="1" x14ac:dyDescent="0.3">
      <c r="A18" s="252" t="s">
        <v>19</v>
      </c>
      <c r="B18" s="253"/>
      <c r="C18" s="89">
        <v>1</v>
      </c>
    </row>
    <row r="19" spans="1:3" ht="16.5" thickBot="1" x14ac:dyDescent="0.3">
      <c r="A19" s="252" t="s">
        <v>20</v>
      </c>
      <c r="B19" s="253"/>
      <c r="C19" s="47">
        <f>C17</f>
        <v>2009.87</v>
      </c>
    </row>
    <row r="20" spans="1:3" ht="16.5" thickBot="1" x14ac:dyDescent="0.3">
      <c r="A20" s="252" t="s">
        <v>21</v>
      </c>
      <c r="B20" s="253"/>
      <c r="C20" s="88">
        <v>1</v>
      </c>
    </row>
    <row r="21" spans="1:3" ht="16.5" thickBot="1" x14ac:dyDescent="0.3">
      <c r="A21" s="252" t="s">
        <v>22</v>
      </c>
      <c r="B21" s="253"/>
      <c r="C21" s="47">
        <f>C20*C19</f>
        <v>2009.87</v>
      </c>
    </row>
  </sheetData>
  <mergeCells count="4">
    <mergeCell ref="A18:B18"/>
    <mergeCell ref="A19:B19"/>
    <mergeCell ref="A20:B20"/>
    <mergeCell ref="A21:B21"/>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C3E-6A8E-48B7-9661-6A52305596FB}">
  <sheetPr>
    <tabColor theme="9" tint="0.79998168889431442"/>
  </sheetPr>
  <dimension ref="A1:C25"/>
  <sheetViews>
    <sheetView zoomScale="70" zoomScaleNormal="70" workbookViewId="0">
      <selection activeCell="C13" sqref="C13"/>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432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337</v>
      </c>
      <c r="C13" s="36">
        <f>13.46*240</f>
        <v>3230.4</v>
      </c>
    </row>
    <row r="14" spans="1:3" ht="16.5" thickBot="1" x14ac:dyDescent="0.3">
      <c r="A14" s="33">
        <v>1114</v>
      </c>
      <c r="B14" s="145" t="s">
        <v>417</v>
      </c>
      <c r="C14" s="36">
        <f>13.46*32</f>
        <v>430.72</v>
      </c>
    </row>
    <row r="15" spans="1:3" ht="16.5" thickBot="1" x14ac:dyDescent="0.3">
      <c r="A15" s="33"/>
      <c r="B15" s="37"/>
      <c r="C15" s="36"/>
    </row>
    <row r="16" spans="1:3" ht="16.5" thickBot="1" x14ac:dyDescent="0.3">
      <c r="A16" s="33">
        <v>1114</v>
      </c>
      <c r="B16" s="37" t="s">
        <v>282</v>
      </c>
      <c r="C16" s="105">
        <f>SUM(C11:C14)</f>
        <v>3683.38</v>
      </c>
    </row>
    <row r="17" spans="1:3" ht="16.5" thickBot="1" x14ac:dyDescent="0.3">
      <c r="A17" s="33">
        <v>1210</v>
      </c>
      <c r="B17" s="81" t="s">
        <v>283</v>
      </c>
      <c r="C17" s="144">
        <f>ROUND(C16*23.59%,2)</f>
        <v>868.91</v>
      </c>
    </row>
    <row r="18" spans="1:3" ht="16.5" thickBot="1" x14ac:dyDescent="0.3">
      <c r="A18" s="34"/>
      <c r="B18" s="39" t="s">
        <v>8</v>
      </c>
      <c r="C18" s="92">
        <f>C16+C17</f>
        <v>4552.29</v>
      </c>
    </row>
    <row r="19" spans="1:3" ht="16.5" thickBot="1" x14ac:dyDescent="0.3">
      <c r="A19" s="34"/>
      <c r="B19" s="33" t="s">
        <v>9</v>
      </c>
      <c r="C19" s="36" t="s">
        <v>4</v>
      </c>
    </row>
    <row r="20" spans="1:3" ht="16.5" thickBot="1" x14ac:dyDescent="0.3">
      <c r="A20" s="34"/>
      <c r="B20" s="39" t="s">
        <v>17</v>
      </c>
      <c r="C20" s="36">
        <f>ROUND((C18*10%),2)</f>
        <v>455.23</v>
      </c>
    </row>
    <row r="21" spans="1:3" ht="16.5" thickBot="1" x14ac:dyDescent="0.3">
      <c r="A21" s="33"/>
      <c r="B21" s="45" t="s">
        <v>18</v>
      </c>
      <c r="C21" s="36">
        <f>ROUND((SUM(C18,C20)),2)</f>
        <v>5007.5200000000004</v>
      </c>
    </row>
    <row r="22" spans="1:3" ht="16.5" thickBot="1" x14ac:dyDescent="0.3">
      <c r="A22" s="252" t="s">
        <v>19</v>
      </c>
      <c r="B22" s="253"/>
      <c r="C22" s="89">
        <v>1</v>
      </c>
    </row>
    <row r="23" spans="1:3" ht="16.5" thickBot="1" x14ac:dyDescent="0.3">
      <c r="A23" s="252" t="s">
        <v>20</v>
      </c>
      <c r="B23" s="253"/>
      <c r="C23" s="47">
        <f>C21</f>
        <v>5007.5200000000004</v>
      </c>
    </row>
    <row r="24" spans="1:3" ht="16.5" thickBot="1" x14ac:dyDescent="0.3">
      <c r="A24" s="252" t="s">
        <v>21</v>
      </c>
      <c r="B24" s="253"/>
      <c r="C24" s="88">
        <v>1</v>
      </c>
    </row>
    <row r="25" spans="1:3" ht="16.5" thickBot="1" x14ac:dyDescent="0.3">
      <c r="A25" s="252" t="s">
        <v>22</v>
      </c>
      <c r="B25" s="253"/>
      <c r="C25" s="47">
        <f>C24*C23</f>
        <v>5007.5200000000004</v>
      </c>
    </row>
  </sheetData>
  <mergeCells count="4">
    <mergeCell ref="A22:B22"/>
    <mergeCell ref="A23:B23"/>
    <mergeCell ref="A24:B24"/>
    <mergeCell ref="A25:B25"/>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2F7A-F3CF-491D-9D7C-28E59B6C7311}">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433</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338</v>
      </c>
      <c r="C13" s="36">
        <f>13.46*240</f>
        <v>3230.4</v>
      </c>
    </row>
    <row r="14" spans="1:3" ht="16.5" thickBot="1" x14ac:dyDescent="0.3">
      <c r="A14" s="33">
        <v>1114</v>
      </c>
      <c r="B14" s="145" t="s">
        <v>417</v>
      </c>
      <c r="C14" s="36">
        <f>13.46*32</f>
        <v>430.72</v>
      </c>
    </row>
    <row r="15" spans="1:3" ht="16.5" thickBot="1" x14ac:dyDescent="0.3">
      <c r="A15" s="33"/>
      <c r="B15" s="37"/>
      <c r="C15" s="36"/>
    </row>
    <row r="16" spans="1:3" ht="16.5" thickBot="1" x14ac:dyDescent="0.3">
      <c r="A16" s="33">
        <v>1114</v>
      </c>
      <c r="B16" s="37" t="s">
        <v>282</v>
      </c>
      <c r="C16" s="105">
        <f>SUM(C11:C14)</f>
        <v>3683.38</v>
      </c>
    </row>
    <row r="17" spans="1:3" ht="16.5" thickBot="1" x14ac:dyDescent="0.3">
      <c r="A17" s="33">
        <v>1210</v>
      </c>
      <c r="B17" s="81" t="s">
        <v>283</v>
      </c>
      <c r="C17" s="144">
        <f>ROUND(C16*23.59%,2)</f>
        <v>868.91</v>
      </c>
    </row>
    <row r="18" spans="1:3" ht="16.5" thickBot="1" x14ac:dyDescent="0.3">
      <c r="A18" s="34"/>
      <c r="B18" s="39" t="s">
        <v>8</v>
      </c>
      <c r="C18" s="92">
        <f>C16+C17</f>
        <v>4552.29</v>
      </c>
    </row>
    <row r="19" spans="1:3" ht="16.5" thickBot="1" x14ac:dyDescent="0.3">
      <c r="A19" s="34"/>
      <c r="B19" s="33" t="s">
        <v>9</v>
      </c>
      <c r="C19" s="36" t="s">
        <v>4</v>
      </c>
    </row>
    <row r="20" spans="1:3" ht="16.5" thickBot="1" x14ac:dyDescent="0.3">
      <c r="A20" s="34"/>
      <c r="B20" s="39" t="s">
        <v>17</v>
      </c>
      <c r="C20" s="36">
        <f>ROUND((C18*10%),2)</f>
        <v>455.23</v>
      </c>
    </row>
    <row r="21" spans="1:3" ht="16.5" thickBot="1" x14ac:dyDescent="0.3">
      <c r="A21" s="33"/>
      <c r="B21" s="45" t="s">
        <v>18</v>
      </c>
      <c r="C21" s="36">
        <f>ROUND((SUM(C18,C20)),2)</f>
        <v>5007.5200000000004</v>
      </c>
    </row>
    <row r="22" spans="1:3" ht="16.5" thickBot="1" x14ac:dyDescent="0.3">
      <c r="A22" s="252" t="s">
        <v>19</v>
      </c>
      <c r="B22" s="253"/>
      <c r="C22" s="89">
        <v>1</v>
      </c>
    </row>
    <row r="23" spans="1:3" ht="16.5" thickBot="1" x14ac:dyDescent="0.3">
      <c r="A23" s="252" t="s">
        <v>20</v>
      </c>
      <c r="B23" s="253"/>
      <c r="C23" s="47">
        <f>C21</f>
        <v>5007.5200000000004</v>
      </c>
    </row>
    <row r="24" spans="1:3" ht="16.5" thickBot="1" x14ac:dyDescent="0.3">
      <c r="A24" s="252" t="s">
        <v>21</v>
      </c>
      <c r="B24" s="253"/>
      <c r="C24" s="88">
        <v>1</v>
      </c>
    </row>
    <row r="25" spans="1:3" ht="16.5" thickBot="1" x14ac:dyDescent="0.3">
      <c r="A25" s="252" t="s">
        <v>22</v>
      </c>
      <c r="B25" s="253"/>
      <c r="C25" s="47">
        <f>C24*C23</f>
        <v>5007.5200000000004</v>
      </c>
    </row>
  </sheetData>
  <mergeCells count="4">
    <mergeCell ref="A22:B22"/>
    <mergeCell ref="A23:B23"/>
    <mergeCell ref="A24:B24"/>
    <mergeCell ref="A25:B25"/>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65EE-0963-447C-8405-11646E2BEA83}">
  <sheetPr>
    <tabColor theme="9" tint="0.79998168889431442"/>
  </sheetPr>
  <dimension ref="A1:C25"/>
  <sheetViews>
    <sheetView zoomScale="70" zoomScaleNormal="70" workbookViewId="0">
      <selection activeCell="B14" sqref="B1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442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444</v>
      </c>
      <c r="C13" s="36">
        <f>13.46*300</f>
        <v>4038.0000000000005</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4437.1400000000003</v>
      </c>
    </row>
    <row r="17" spans="1:3" ht="16.5" thickBot="1" x14ac:dyDescent="0.3">
      <c r="A17" s="33">
        <v>1210</v>
      </c>
      <c r="B17" s="81" t="s">
        <v>283</v>
      </c>
      <c r="C17" s="144">
        <f>ROUND(C16*23.59%,2)</f>
        <v>1046.72</v>
      </c>
    </row>
    <row r="18" spans="1:3" ht="16.5" thickBot="1" x14ac:dyDescent="0.3">
      <c r="A18" s="34"/>
      <c r="B18" s="39" t="s">
        <v>8</v>
      </c>
      <c r="C18" s="92">
        <f>C16+C17</f>
        <v>5483.8600000000006</v>
      </c>
    </row>
    <row r="19" spans="1:3" ht="16.5" thickBot="1" x14ac:dyDescent="0.3">
      <c r="A19" s="34"/>
      <c r="B19" s="33" t="s">
        <v>9</v>
      </c>
      <c r="C19" s="36" t="s">
        <v>4</v>
      </c>
    </row>
    <row r="20" spans="1:3" ht="16.5" thickBot="1" x14ac:dyDescent="0.3">
      <c r="A20" s="34"/>
      <c r="B20" s="39" t="s">
        <v>17</v>
      </c>
      <c r="C20" s="36">
        <f>ROUND((C18*10%),2)</f>
        <v>548.39</v>
      </c>
    </row>
    <row r="21" spans="1:3" ht="16.5" thickBot="1" x14ac:dyDescent="0.3">
      <c r="A21" s="33"/>
      <c r="B21" s="45" t="s">
        <v>18</v>
      </c>
      <c r="C21" s="36">
        <f>ROUND((SUM(C18,C20)),2)</f>
        <v>6032.25</v>
      </c>
    </row>
    <row r="22" spans="1:3" ht="16.5" thickBot="1" x14ac:dyDescent="0.3">
      <c r="A22" s="252" t="s">
        <v>19</v>
      </c>
      <c r="B22" s="253"/>
      <c r="C22" s="89">
        <v>1</v>
      </c>
    </row>
    <row r="23" spans="1:3" ht="16.5" thickBot="1" x14ac:dyDescent="0.3">
      <c r="A23" s="252" t="s">
        <v>20</v>
      </c>
      <c r="B23" s="253"/>
      <c r="C23" s="47">
        <f>C21</f>
        <v>6032.25</v>
      </c>
    </row>
    <row r="24" spans="1:3" ht="16.5" thickBot="1" x14ac:dyDescent="0.3">
      <c r="A24" s="252" t="s">
        <v>21</v>
      </c>
      <c r="B24" s="253"/>
      <c r="C24" s="88">
        <v>1</v>
      </c>
    </row>
    <row r="25" spans="1:3" ht="16.5" thickBot="1" x14ac:dyDescent="0.3">
      <c r="A25" s="252" t="s">
        <v>22</v>
      </c>
      <c r="B25" s="253"/>
      <c r="C25" s="47">
        <f>C24*C23</f>
        <v>6032.25</v>
      </c>
    </row>
  </sheetData>
  <mergeCells count="4">
    <mergeCell ref="A22:B22"/>
    <mergeCell ref="A23:B23"/>
    <mergeCell ref="A24:B24"/>
    <mergeCell ref="A25:B25"/>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8BF6-43A1-41EF-BF34-906565CB4112}">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443</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445</v>
      </c>
      <c r="C13" s="36">
        <f>13.46*300</f>
        <v>4038.0000000000005</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4437.1400000000003</v>
      </c>
    </row>
    <row r="17" spans="1:3" ht="16.5" thickBot="1" x14ac:dyDescent="0.3">
      <c r="A17" s="33">
        <v>1210</v>
      </c>
      <c r="B17" s="81" t="s">
        <v>283</v>
      </c>
      <c r="C17" s="144">
        <f>ROUND(C16*23.59%,2)</f>
        <v>1046.72</v>
      </c>
    </row>
    <row r="18" spans="1:3" ht="16.5" thickBot="1" x14ac:dyDescent="0.3">
      <c r="A18" s="34"/>
      <c r="B18" s="39" t="s">
        <v>8</v>
      </c>
      <c r="C18" s="92">
        <f>C16+C17</f>
        <v>5483.8600000000006</v>
      </c>
    </row>
    <row r="19" spans="1:3" ht="16.5" thickBot="1" x14ac:dyDescent="0.3">
      <c r="A19" s="34"/>
      <c r="B19" s="33" t="s">
        <v>9</v>
      </c>
      <c r="C19" s="36" t="s">
        <v>4</v>
      </c>
    </row>
    <row r="20" spans="1:3" ht="16.5" thickBot="1" x14ac:dyDescent="0.3">
      <c r="A20" s="34"/>
      <c r="B20" s="39" t="s">
        <v>17</v>
      </c>
      <c r="C20" s="36">
        <f>ROUND((C18*10%),2)</f>
        <v>548.39</v>
      </c>
    </row>
    <row r="21" spans="1:3" ht="16.5" thickBot="1" x14ac:dyDescent="0.3">
      <c r="A21" s="33"/>
      <c r="B21" s="45" t="s">
        <v>18</v>
      </c>
      <c r="C21" s="36">
        <f>ROUND((SUM(C18,C20)),2)</f>
        <v>6032.25</v>
      </c>
    </row>
    <row r="22" spans="1:3" ht="16.5" thickBot="1" x14ac:dyDescent="0.3">
      <c r="A22" s="252" t="s">
        <v>19</v>
      </c>
      <c r="B22" s="253"/>
      <c r="C22" s="89">
        <v>1</v>
      </c>
    </row>
    <row r="23" spans="1:3" ht="16.5" thickBot="1" x14ac:dyDescent="0.3">
      <c r="A23" s="252" t="s">
        <v>20</v>
      </c>
      <c r="B23" s="253"/>
      <c r="C23" s="47">
        <f>C21</f>
        <v>6032.25</v>
      </c>
    </row>
    <row r="24" spans="1:3" ht="16.5" thickBot="1" x14ac:dyDescent="0.3">
      <c r="A24" s="252" t="s">
        <v>21</v>
      </c>
      <c r="B24" s="253"/>
      <c r="C24" s="88">
        <v>1</v>
      </c>
    </row>
    <row r="25" spans="1:3" ht="16.5" thickBot="1" x14ac:dyDescent="0.3">
      <c r="A25" s="252" t="s">
        <v>22</v>
      </c>
      <c r="B25" s="253"/>
      <c r="C25" s="47">
        <f>C24*C23</f>
        <v>6032.25</v>
      </c>
    </row>
  </sheetData>
  <mergeCells count="4">
    <mergeCell ref="A22:B22"/>
    <mergeCell ref="A23:B23"/>
    <mergeCell ref="A24:B24"/>
    <mergeCell ref="A25:B25"/>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B7DC-C3A9-472B-BB7E-26EF575DFD7B}">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429</v>
      </c>
    </row>
    <row r="3" spans="1:3" ht="15.75" x14ac:dyDescent="0.25">
      <c r="A3" s="31"/>
      <c r="B3" s="49" t="s">
        <v>446</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301</v>
      </c>
      <c r="C11" s="36">
        <f>11.13*2</f>
        <v>22.26</v>
      </c>
    </row>
    <row r="12" spans="1:3" ht="16.5" thickBot="1" x14ac:dyDescent="0.3">
      <c r="A12" s="33"/>
      <c r="B12" s="143" t="s">
        <v>356</v>
      </c>
      <c r="C12" s="36"/>
    </row>
    <row r="13" spans="1:3" ht="63.75" thickBot="1" x14ac:dyDescent="0.3">
      <c r="A13" s="33">
        <v>1114</v>
      </c>
      <c r="B13" s="37" t="s">
        <v>466</v>
      </c>
      <c r="C13" s="36">
        <f>13.46*80</f>
        <v>1076.8000000000002</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1475.94</v>
      </c>
    </row>
    <row r="17" spans="1:3" ht="16.5" thickBot="1" x14ac:dyDescent="0.3">
      <c r="A17" s="33">
        <v>1210</v>
      </c>
      <c r="B17" s="81" t="s">
        <v>283</v>
      </c>
      <c r="C17" s="144">
        <f>ROUND(C16*23.59%,2)</f>
        <v>348.17</v>
      </c>
    </row>
    <row r="18" spans="1:3" ht="16.5" thickBot="1" x14ac:dyDescent="0.3">
      <c r="A18" s="34"/>
      <c r="B18" s="39" t="s">
        <v>8</v>
      </c>
      <c r="C18" s="92">
        <f>C16+C17</f>
        <v>1824.1100000000001</v>
      </c>
    </row>
    <row r="19" spans="1:3" ht="16.5" thickBot="1" x14ac:dyDescent="0.3">
      <c r="A19" s="34"/>
      <c r="B19" s="33" t="s">
        <v>9</v>
      </c>
      <c r="C19" s="36" t="s">
        <v>4</v>
      </c>
    </row>
    <row r="20" spans="1:3" ht="16.5" thickBot="1" x14ac:dyDescent="0.3">
      <c r="A20" s="34"/>
      <c r="B20" s="39" t="s">
        <v>17</v>
      </c>
      <c r="C20" s="36">
        <f>ROUND((C18*10%),2)</f>
        <v>182.41</v>
      </c>
    </row>
    <row r="21" spans="1:3" ht="16.5" thickBot="1" x14ac:dyDescent="0.3">
      <c r="A21" s="33"/>
      <c r="B21" s="45" t="s">
        <v>18</v>
      </c>
      <c r="C21" s="36">
        <f>ROUND((SUM(C18,C20)),2)</f>
        <v>2006.52</v>
      </c>
    </row>
    <row r="22" spans="1:3" ht="16.5" thickBot="1" x14ac:dyDescent="0.3">
      <c r="A22" s="252" t="s">
        <v>19</v>
      </c>
      <c r="B22" s="253"/>
      <c r="C22" s="89">
        <v>1</v>
      </c>
    </row>
    <row r="23" spans="1:3" ht="16.5" thickBot="1" x14ac:dyDescent="0.3">
      <c r="A23" s="252" t="s">
        <v>20</v>
      </c>
      <c r="B23" s="253"/>
      <c r="C23" s="47">
        <f>C21</f>
        <v>2006.52</v>
      </c>
    </row>
    <row r="24" spans="1:3" ht="16.5" thickBot="1" x14ac:dyDescent="0.3">
      <c r="A24" s="252" t="s">
        <v>21</v>
      </c>
      <c r="B24" s="253"/>
      <c r="C24" s="88">
        <v>1</v>
      </c>
    </row>
    <row r="25" spans="1:3" ht="16.5" thickBot="1" x14ac:dyDescent="0.3">
      <c r="A25" s="252" t="s">
        <v>22</v>
      </c>
      <c r="B25" s="253"/>
      <c r="C25" s="47">
        <f>C24*C23</f>
        <v>2006.52</v>
      </c>
    </row>
  </sheetData>
  <mergeCells count="4">
    <mergeCell ref="A22:B22"/>
    <mergeCell ref="A23:B23"/>
    <mergeCell ref="A24:B24"/>
    <mergeCell ref="A25:B25"/>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E29-99E1-4D40-8086-E3AFC3F7DBAA}">
  <sheetPr>
    <tabColor theme="9" tint="0.79998168889431442"/>
  </sheetPr>
  <dimension ref="A1:C29"/>
  <sheetViews>
    <sheetView topLeftCell="A12"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447</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303</v>
      </c>
      <c r="C11" s="36">
        <f>11.13*1</f>
        <v>11.13</v>
      </c>
    </row>
    <row r="12" spans="1:3" ht="63.75" thickBot="1" x14ac:dyDescent="0.3">
      <c r="A12" s="33">
        <v>1114</v>
      </c>
      <c r="B12" s="37" t="s">
        <v>317</v>
      </c>
      <c r="C12" s="36">
        <f t="shared" ref="C12:C17" si="0">13.46*8</f>
        <v>107.68</v>
      </c>
    </row>
    <row r="13" spans="1:3" ht="63.75" thickBot="1" x14ac:dyDescent="0.3">
      <c r="A13" s="33">
        <v>1114</v>
      </c>
      <c r="B13" s="37" t="s">
        <v>294</v>
      </c>
      <c r="C13" s="36">
        <f t="shared" si="0"/>
        <v>107.68</v>
      </c>
    </row>
    <row r="14" spans="1:3" ht="63.75" thickBot="1" x14ac:dyDescent="0.3">
      <c r="A14" s="33">
        <v>1114</v>
      </c>
      <c r="B14" s="37" t="s">
        <v>456</v>
      </c>
      <c r="C14" s="36">
        <f t="shared" si="0"/>
        <v>107.68</v>
      </c>
    </row>
    <row r="15" spans="1:3" ht="63.75" thickBot="1" x14ac:dyDescent="0.3">
      <c r="A15" s="33">
        <v>1114</v>
      </c>
      <c r="B15" s="37" t="s">
        <v>457</v>
      </c>
      <c r="C15" s="36">
        <f t="shared" si="0"/>
        <v>107.68</v>
      </c>
    </row>
    <row r="16" spans="1:3" ht="63.75" thickBot="1" x14ac:dyDescent="0.3">
      <c r="A16" s="33">
        <v>1114</v>
      </c>
      <c r="B16" s="37" t="s">
        <v>295</v>
      </c>
      <c r="C16" s="36">
        <f t="shared" si="0"/>
        <v>107.68</v>
      </c>
    </row>
    <row r="17" spans="1:3" ht="63.75" thickBot="1" x14ac:dyDescent="0.3">
      <c r="A17" s="33">
        <v>1114</v>
      </c>
      <c r="B17" s="37" t="s">
        <v>458</v>
      </c>
      <c r="C17" s="36">
        <f t="shared" si="0"/>
        <v>107.68</v>
      </c>
    </row>
    <row r="18" spans="1:3" ht="63.75" thickBot="1" x14ac:dyDescent="0.3">
      <c r="A18" s="33">
        <v>1114</v>
      </c>
      <c r="B18" s="37" t="s">
        <v>296</v>
      </c>
      <c r="C18" s="36">
        <f>16.8*8</f>
        <v>134.4</v>
      </c>
    </row>
    <row r="19" spans="1:3" ht="16.5" thickBot="1" x14ac:dyDescent="0.3">
      <c r="A19" s="33"/>
      <c r="B19" s="37"/>
      <c r="C19" s="36"/>
    </row>
    <row r="20" spans="1:3" ht="16.5" thickBot="1" x14ac:dyDescent="0.3">
      <c r="A20" s="33">
        <v>1114</v>
      </c>
      <c r="B20" s="37" t="s">
        <v>282</v>
      </c>
      <c r="C20" s="105">
        <f>SUM(C11:C18)</f>
        <v>791.61</v>
      </c>
    </row>
    <row r="21" spans="1:3" ht="16.5" thickBot="1" x14ac:dyDescent="0.3">
      <c r="A21" s="33">
        <v>1210</v>
      </c>
      <c r="B21" s="81" t="s">
        <v>283</v>
      </c>
      <c r="C21" s="144">
        <f>ROUND(C20*23.59%,2)</f>
        <v>186.74</v>
      </c>
    </row>
    <row r="22" spans="1:3" ht="16.5" thickBot="1" x14ac:dyDescent="0.3">
      <c r="A22" s="34"/>
      <c r="B22" s="39" t="s">
        <v>8</v>
      </c>
      <c r="C22" s="92">
        <f>C20+C21</f>
        <v>978.35</v>
      </c>
    </row>
    <row r="23" spans="1:3" ht="16.5" thickBot="1" x14ac:dyDescent="0.3">
      <c r="A23" s="34"/>
      <c r="B23" s="33" t="s">
        <v>9</v>
      </c>
      <c r="C23" s="36" t="s">
        <v>4</v>
      </c>
    </row>
    <row r="24" spans="1:3" ht="16.5" thickBot="1" x14ac:dyDescent="0.3">
      <c r="A24" s="34"/>
      <c r="B24" s="39" t="s">
        <v>17</v>
      </c>
      <c r="C24" s="36">
        <f>ROUND((C22*10%),2)</f>
        <v>97.84</v>
      </c>
    </row>
    <row r="25" spans="1:3" ht="16.5" thickBot="1" x14ac:dyDescent="0.3">
      <c r="A25" s="33"/>
      <c r="B25" s="45" t="s">
        <v>18</v>
      </c>
      <c r="C25" s="36">
        <f>ROUND((SUM(C22,C24)),2)</f>
        <v>1076.19</v>
      </c>
    </row>
    <row r="26" spans="1:3" ht="16.5" thickBot="1" x14ac:dyDescent="0.3">
      <c r="A26" s="252" t="s">
        <v>19</v>
      </c>
      <c r="B26" s="253"/>
      <c r="C26" s="89">
        <v>1</v>
      </c>
    </row>
    <row r="27" spans="1:3" ht="16.5" thickBot="1" x14ac:dyDescent="0.3">
      <c r="A27" s="252" t="s">
        <v>20</v>
      </c>
      <c r="B27" s="253"/>
      <c r="C27" s="47">
        <f>C25</f>
        <v>1076.19</v>
      </c>
    </row>
    <row r="28" spans="1:3" ht="16.5" thickBot="1" x14ac:dyDescent="0.3">
      <c r="A28" s="252" t="s">
        <v>21</v>
      </c>
      <c r="B28" s="253"/>
      <c r="C28" s="88">
        <v>1</v>
      </c>
    </row>
    <row r="29" spans="1:3" ht="16.5" thickBot="1" x14ac:dyDescent="0.3">
      <c r="A29" s="252" t="s">
        <v>22</v>
      </c>
      <c r="B29" s="253"/>
      <c r="C29" s="47">
        <f>C28*C27</f>
        <v>1076.19</v>
      </c>
    </row>
  </sheetData>
  <mergeCells count="4">
    <mergeCell ref="A26:B26"/>
    <mergeCell ref="A27:B27"/>
    <mergeCell ref="A28:B28"/>
    <mergeCell ref="A29:B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2816-6006-430D-8362-2AA8CE9E4C10}">
  <sheetPr>
    <tabColor theme="9" tint="0.79998168889431442"/>
  </sheetPr>
  <dimension ref="A1:C36"/>
  <sheetViews>
    <sheetView topLeftCell="A7" zoomScale="70" zoomScaleNormal="70"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31"/>
      <c r="B3" s="32" t="s">
        <v>228</v>
      </c>
      <c r="C3" s="32"/>
    </row>
    <row r="4" spans="1:3" ht="15.75" x14ac:dyDescent="0.25">
      <c r="A4" s="31" t="s">
        <v>71</v>
      </c>
      <c r="B4" s="29" t="s">
        <v>187</v>
      </c>
      <c r="C4" s="30"/>
    </row>
    <row r="5" spans="1:3" ht="15.75" x14ac:dyDescent="0.25">
      <c r="A5" s="29"/>
      <c r="B5" s="29"/>
      <c r="C5" s="30"/>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29">
        <v>2239</v>
      </c>
      <c r="B13" s="117" t="s">
        <v>191</v>
      </c>
      <c r="C13" s="112">
        <v>0.23</v>
      </c>
    </row>
    <row r="14" spans="1:3" ht="15.75" x14ac:dyDescent="0.25">
      <c r="A14" s="113"/>
      <c r="B14" s="118" t="s">
        <v>39</v>
      </c>
      <c r="C14" s="119">
        <f>SUM(C11:C13)</f>
        <v>5.7100000000000009</v>
      </c>
    </row>
    <row r="15" spans="1:3" ht="15.75" x14ac:dyDescent="0.25">
      <c r="A15" s="113"/>
      <c r="B15" s="94" t="s">
        <v>40</v>
      </c>
      <c r="C15" s="120"/>
    </row>
    <row r="16" spans="1:3" ht="15.75" x14ac:dyDescent="0.25">
      <c r="A16" s="113"/>
      <c r="B16" s="121" t="s">
        <v>192</v>
      </c>
      <c r="C16" s="120"/>
    </row>
    <row r="17" spans="1:3" ht="94.5" x14ac:dyDescent="0.25">
      <c r="A17" s="93">
        <v>1100</v>
      </c>
      <c r="B17" s="114" t="s">
        <v>229</v>
      </c>
      <c r="C17" s="115">
        <f>ROUND((9.63*0.75),2)</f>
        <v>7.22</v>
      </c>
    </row>
    <row r="18" spans="1:3" ht="15.75" x14ac:dyDescent="0.25">
      <c r="A18" s="93">
        <v>2341</v>
      </c>
      <c r="B18" s="94" t="s">
        <v>221</v>
      </c>
      <c r="C18" s="120">
        <v>0.38</v>
      </c>
    </row>
    <row r="19" spans="1:3" ht="15.75" x14ac:dyDescent="0.25">
      <c r="A19" s="113"/>
      <c r="B19" s="118" t="s">
        <v>50</v>
      </c>
      <c r="C19" s="119">
        <f>SUM(C17:C18)</f>
        <v>7.6</v>
      </c>
    </row>
    <row r="20" spans="1:3" ht="15.75" x14ac:dyDescent="0.25">
      <c r="A20" s="123"/>
      <c r="B20" s="123" t="s">
        <v>51</v>
      </c>
      <c r="C20" s="120"/>
    </row>
    <row r="21" spans="1:3" ht="94.5" x14ac:dyDescent="0.25">
      <c r="A21" s="93">
        <v>1100</v>
      </c>
      <c r="B21" s="94" t="s">
        <v>200</v>
      </c>
      <c r="C21" s="119">
        <f>ROUND((12.97*0.083),2)</f>
        <v>1.08</v>
      </c>
    </row>
    <row r="22" spans="1:3" ht="15.75" x14ac:dyDescent="0.25">
      <c r="A22" s="113"/>
      <c r="B22" s="118" t="s">
        <v>55</v>
      </c>
      <c r="C22" s="119">
        <f>C21</f>
        <v>1.08</v>
      </c>
    </row>
    <row r="23" spans="1:3" ht="15.75" x14ac:dyDescent="0.25">
      <c r="A23" s="113"/>
      <c r="B23" s="118" t="s">
        <v>8</v>
      </c>
      <c r="C23" s="119">
        <f>SUM(C14,C19,C22)</f>
        <v>14.39</v>
      </c>
    </row>
    <row r="24" spans="1:3" ht="15.75" x14ac:dyDescent="0.25">
      <c r="A24" s="113"/>
      <c r="B24" s="112" t="s">
        <v>9</v>
      </c>
      <c r="C24" s="112" t="s">
        <v>4</v>
      </c>
    </row>
    <row r="25" spans="1:3" ht="15.75" x14ac:dyDescent="0.25">
      <c r="A25" s="112">
        <v>1100</v>
      </c>
      <c r="B25" s="124" t="s">
        <v>10</v>
      </c>
      <c r="C25" s="115">
        <v>0.14000000000000001</v>
      </c>
    </row>
    <row r="26" spans="1:3" ht="15.75" x14ac:dyDescent="0.25">
      <c r="A26" s="125">
        <v>2210</v>
      </c>
      <c r="B26" s="126" t="s">
        <v>11</v>
      </c>
      <c r="C26" s="120">
        <v>0.05</v>
      </c>
    </row>
    <row r="27" spans="1:3" ht="15.75" x14ac:dyDescent="0.25">
      <c r="A27" s="125">
        <v>2220</v>
      </c>
      <c r="B27" s="126" t="s">
        <v>12</v>
      </c>
      <c r="C27" s="112">
        <v>0.18</v>
      </c>
    </row>
    <row r="28" spans="1:3" ht="15.75" x14ac:dyDescent="0.25">
      <c r="A28" s="125">
        <v>2240</v>
      </c>
      <c r="B28" s="126" t="s">
        <v>56</v>
      </c>
      <c r="C28" s="112">
        <v>0.47</v>
      </c>
    </row>
    <row r="29" spans="1:3" ht="15.75" x14ac:dyDescent="0.25">
      <c r="A29" s="125">
        <v>2310</v>
      </c>
      <c r="B29" s="126" t="s">
        <v>15</v>
      </c>
      <c r="C29" s="115">
        <v>0.09</v>
      </c>
    </row>
    <row r="30" spans="1:3" ht="15.75" x14ac:dyDescent="0.25">
      <c r="A30" s="120">
        <v>5200</v>
      </c>
      <c r="B30" s="127" t="s">
        <v>201</v>
      </c>
      <c r="C30" s="115">
        <v>0.09</v>
      </c>
    </row>
    <row r="31" spans="1:3" ht="15.75" x14ac:dyDescent="0.25">
      <c r="A31" s="113"/>
      <c r="B31" s="118" t="s">
        <v>17</v>
      </c>
      <c r="C31" s="115">
        <f>SUM(C25:C30)</f>
        <v>1.02</v>
      </c>
    </row>
    <row r="32" spans="1:3" ht="15.75" x14ac:dyDescent="0.25">
      <c r="A32" s="112"/>
      <c r="B32" s="128" t="s">
        <v>18</v>
      </c>
      <c r="C32" s="115">
        <f>SUM(C23,C31)</f>
        <v>15.41</v>
      </c>
    </row>
    <row r="33" spans="1:3" ht="15.75" x14ac:dyDescent="0.25">
      <c r="A33" s="258" t="s">
        <v>19</v>
      </c>
      <c r="B33" s="258"/>
      <c r="C33" s="120">
        <v>1</v>
      </c>
    </row>
    <row r="34" spans="1:3" ht="15.75" x14ac:dyDescent="0.25">
      <c r="A34" s="258" t="s">
        <v>20</v>
      </c>
      <c r="B34" s="258"/>
      <c r="C34" s="119">
        <f>C32</f>
        <v>15.41</v>
      </c>
    </row>
    <row r="35" spans="1:3" ht="15.75" x14ac:dyDescent="0.25">
      <c r="A35" s="258" t="s">
        <v>21</v>
      </c>
      <c r="B35" s="258"/>
      <c r="C35" s="120">
        <v>7</v>
      </c>
    </row>
    <row r="36" spans="1:3" ht="15.75" x14ac:dyDescent="0.25">
      <c r="A36" s="258" t="s">
        <v>22</v>
      </c>
      <c r="B36" s="258"/>
      <c r="C36" s="119">
        <f>C35*C34</f>
        <v>107.87</v>
      </c>
    </row>
  </sheetData>
  <mergeCells count="5">
    <mergeCell ref="B2:C2"/>
    <mergeCell ref="A33:B33"/>
    <mergeCell ref="A34:B34"/>
    <mergeCell ref="A35:B35"/>
    <mergeCell ref="A36:B36"/>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4B21-B9EC-4736-AAC7-CBF50056CADF}">
  <sheetPr>
    <tabColor theme="9" tint="0.79998168889431442"/>
  </sheetPr>
  <dimension ref="A1:C25"/>
  <sheetViews>
    <sheetView topLeftCell="A4"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448</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343</v>
      </c>
      <c r="C11" s="36">
        <f>11.13*1.5</f>
        <v>16.695</v>
      </c>
    </row>
    <row r="12" spans="1:3" ht="16.5" thickBot="1" x14ac:dyDescent="0.3">
      <c r="A12" s="33"/>
      <c r="B12" s="143" t="s">
        <v>356</v>
      </c>
      <c r="C12" s="36"/>
    </row>
    <row r="13" spans="1:3" ht="63.75" thickBot="1" x14ac:dyDescent="0.3">
      <c r="A13" s="33">
        <v>1114</v>
      </c>
      <c r="B13" s="37" t="s">
        <v>459</v>
      </c>
      <c r="C13" s="36">
        <f>13.46*50</f>
        <v>673</v>
      </c>
    </row>
    <row r="14" spans="1:3" ht="63.75" thickBot="1" x14ac:dyDescent="0.3">
      <c r="A14" s="33">
        <v>1114</v>
      </c>
      <c r="B14" s="37" t="s">
        <v>306</v>
      </c>
      <c r="C14" s="36">
        <f>16.8*3</f>
        <v>50.400000000000006</v>
      </c>
    </row>
    <row r="15" spans="1:3" ht="16.5" thickBot="1" x14ac:dyDescent="0.3">
      <c r="A15" s="33"/>
      <c r="B15" s="37"/>
      <c r="C15" s="36"/>
    </row>
    <row r="16" spans="1:3" ht="16.5" thickBot="1" x14ac:dyDescent="0.3">
      <c r="A16" s="33">
        <v>1114</v>
      </c>
      <c r="B16" s="37" t="s">
        <v>282</v>
      </c>
      <c r="C16" s="105">
        <f>SUM(C11:C14)</f>
        <v>740.09500000000003</v>
      </c>
    </row>
    <row r="17" spans="1:3" ht="16.5" thickBot="1" x14ac:dyDescent="0.3">
      <c r="A17" s="33">
        <v>1210</v>
      </c>
      <c r="B17" s="81" t="s">
        <v>283</v>
      </c>
      <c r="C17" s="144">
        <f>ROUND(C16*23.59%,2)</f>
        <v>174.59</v>
      </c>
    </row>
    <row r="18" spans="1:3" ht="16.5" thickBot="1" x14ac:dyDescent="0.3">
      <c r="A18" s="34"/>
      <c r="B18" s="39" t="s">
        <v>8</v>
      </c>
      <c r="C18" s="92">
        <f>C16+C17</f>
        <v>914.68500000000006</v>
      </c>
    </row>
    <row r="19" spans="1:3" ht="16.5" thickBot="1" x14ac:dyDescent="0.3">
      <c r="A19" s="34"/>
      <c r="B19" s="33" t="s">
        <v>9</v>
      </c>
      <c r="C19" s="36" t="s">
        <v>4</v>
      </c>
    </row>
    <row r="20" spans="1:3" ht="16.5" thickBot="1" x14ac:dyDescent="0.3">
      <c r="A20" s="34"/>
      <c r="B20" s="39" t="s">
        <v>17</v>
      </c>
      <c r="C20" s="36">
        <f>ROUND((C18*10%),2)</f>
        <v>91.47</v>
      </c>
    </row>
    <row r="21" spans="1:3" ht="16.5" thickBot="1" x14ac:dyDescent="0.3">
      <c r="A21" s="33"/>
      <c r="B21" s="45" t="s">
        <v>18</v>
      </c>
      <c r="C21" s="36">
        <f>ROUND((SUM(C18,C20)),2)</f>
        <v>1006.16</v>
      </c>
    </row>
    <row r="22" spans="1:3" ht="16.5" thickBot="1" x14ac:dyDescent="0.3">
      <c r="A22" s="252" t="s">
        <v>19</v>
      </c>
      <c r="B22" s="253"/>
      <c r="C22" s="89">
        <v>1</v>
      </c>
    </row>
    <row r="23" spans="1:3" ht="16.5" thickBot="1" x14ac:dyDescent="0.3">
      <c r="A23" s="252" t="s">
        <v>20</v>
      </c>
      <c r="B23" s="253"/>
      <c r="C23" s="47">
        <f>C21</f>
        <v>1006.16</v>
      </c>
    </row>
    <row r="24" spans="1:3" ht="16.5" thickBot="1" x14ac:dyDescent="0.3">
      <c r="A24" s="252" t="s">
        <v>21</v>
      </c>
      <c r="B24" s="253"/>
      <c r="C24" s="88">
        <v>1</v>
      </c>
    </row>
    <row r="25" spans="1:3" ht="16.5" thickBot="1" x14ac:dyDescent="0.3">
      <c r="A25" s="252" t="s">
        <v>22</v>
      </c>
      <c r="B25" s="253"/>
      <c r="C25" s="47">
        <f>C24*C23</f>
        <v>1006.16</v>
      </c>
    </row>
  </sheetData>
  <mergeCells count="4">
    <mergeCell ref="A22:B22"/>
    <mergeCell ref="A23:B23"/>
    <mergeCell ref="A24:B24"/>
    <mergeCell ref="A25:B25"/>
  </mergeCell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03FB-7052-4774-A6BD-71C239021138}">
  <sheetPr>
    <tabColor theme="9" tint="0.79998168889431442"/>
  </sheetPr>
  <dimension ref="A1:C25"/>
  <sheetViews>
    <sheetView topLeftCell="A7"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449</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316</v>
      </c>
      <c r="C10" s="33"/>
    </row>
    <row r="11" spans="1:3" ht="63.75" thickBot="1" x14ac:dyDescent="0.3">
      <c r="A11" s="33">
        <v>1114</v>
      </c>
      <c r="B11" s="37" t="s">
        <v>343</v>
      </c>
      <c r="C11" s="36">
        <f>11.13*1.5</f>
        <v>16.695</v>
      </c>
    </row>
    <row r="12" spans="1:3" ht="16.5" thickBot="1" x14ac:dyDescent="0.3">
      <c r="A12" s="33"/>
      <c r="B12" s="143" t="s">
        <v>356</v>
      </c>
      <c r="C12" s="36"/>
    </row>
    <row r="13" spans="1:3" ht="63.75" thickBot="1" x14ac:dyDescent="0.3">
      <c r="A13" s="33">
        <v>1114</v>
      </c>
      <c r="B13" s="37" t="s">
        <v>459</v>
      </c>
      <c r="C13" s="36">
        <f>13.46*50</f>
        <v>673</v>
      </c>
    </row>
    <row r="14" spans="1:3" ht="63.75" thickBot="1" x14ac:dyDescent="0.3">
      <c r="A14" s="33">
        <v>1114</v>
      </c>
      <c r="B14" s="37" t="s">
        <v>306</v>
      </c>
      <c r="C14" s="36">
        <f>16.8*3</f>
        <v>50.400000000000006</v>
      </c>
    </row>
    <row r="15" spans="1:3" ht="16.5" thickBot="1" x14ac:dyDescent="0.3">
      <c r="A15" s="33"/>
      <c r="B15" s="37"/>
      <c r="C15" s="105"/>
    </row>
    <row r="16" spans="1:3" ht="16.5" thickBot="1" x14ac:dyDescent="0.3">
      <c r="A16" s="33">
        <v>1114</v>
      </c>
      <c r="B16" s="37" t="s">
        <v>282</v>
      </c>
      <c r="C16" s="105">
        <f>SUM(C11:C14)</f>
        <v>740.09500000000003</v>
      </c>
    </row>
    <row r="17" spans="1:3" ht="16.5" thickBot="1" x14ac:dyDescent="0.3">
      <c r="A17" s="33">
        <v>1210</v>
      </c>
      <c r="B17" s="81" t="s">
        <v>283</v>
      </c>
      <c r="C17" s="22">
        <f>ROUND(C16*23.59%,2)</f>
        <v>174.59</v>
      </c>
    </row>
    <row r="18" spans="1:3" ht="16.5" thickBot="1" x14ac:dyDescent="0.3">
      <c r="A18" s="34"/>
      <c r="B18" s="39" t="s">
        <v>8</v>
      </c>
      <c r="C18" s="92">
        <f>C16+C17</f>
        <v>914.68500000000006</v>
      </c>
    </row>
    <row r="19" spans="1:3" ht="16.5" thickBot="1" x14ac:dyDescent="0.3">
      <c r="A19" s="34"/>
      <c r="B19" s="33" t="s">
        <v>9</v>
      </c>
      <c r="C19" s="36" t="s">
        <v>4</v>
      </c>
    </row>
    <row r="20" spans="1:3" ht="16.5" thickBot="1" x14ac:dyDescent="0.3">
      <c r="A20" s="34"/>
      <c r="B20" s="39" t="s">
        <v>17</v>
      </c>
      <c r="C20" s="36">
        <f>ROUND((C18*10%),2)</f>
        <v>91.47</v>
      </c>
    </row>
    <row r="21" spans="1:3" ht="16.5" thickBot="1" x14ac:dyDescent="0.3">
      <c r="A21" s="33"/>
      <c r="B21" s="45" t="s">
        <v>18</v>
      </c>
      <c r="C21" s="36">
        <f>ROUND((SUM(C18,C20)),2)</f>
        <v>1006.16</v>
      </c>
    </row>
    <row r="22" spans="1:3" ht="16.5" thickBot="1" x14ac:dyDescent="0.3">
      <c r="A22" s="252" t="s">
        <v>19</v>
      </c>
      <c r="B22" s="253"/>
      <c r="C22" s="89">
        <v>1</v>
      </c>
    </row>
    <row r="23" spans="1:3" ht="16.5" thickBot="1" x14ac:dyDescent="0.3">
      <c r="A23" s="252" t="s">
        <v>20</v>
      </c>
      <c r="B23" s="253"/>
      <c r="C23" s="47">
        <f>C21</f>
        <v>1006.16</v>
      </c>
    </row>
    <row r="24" spans="1:3" ht="16.5" thickBot="1" x14ac:dyDescent="0.3">
      <c r="A24" s="252" t="s">
        <v>21</v>
      </c>
      <c r="B24" s="253"/>
      <c r="C24" s="88">
        <v>1</v>
      </c>
    </row>
    <row r="25" spans="1:3" ht="16.5" thickBot="1" x14ac:dyDescent="0.3">
      <c r="A25" s="252" t="s">
        <v>22</v>
      </c>
      <c r="B25" s="253"/>
      <c r="C25" s="47">
        <f>C24*C23</f>
        <v>1006.16</v>
      </c>
    </row>
  </sheetData>
  <mergeCells count="4">
    <mergeCell ref="A22:B22"/>
    <mergeCell ref="A23:B23"/>
    <mergeCell ref="A24:B24"/>
    <mergeCell ref="A25:B25"/>
  </mergeCell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ECECE-C501-4F33-B2EE-2C50F052C769}">
  <sheetPr>
    <tabColor theme="9" tint="0.79998168889431442"/>
  </sheetPr>
  <dimension ref="A1:C24"/>
  <sheetViews>
    <sheetView topLeftCell="A4" zoomScale="70" zoomScaleNormal="70" workbookViewId="0">
      <selection activeCell="B14" sqref="B1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450</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51" t="s">
        <v>316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460</v>
      </c>
      <c r="C13" s="36">
        <f>13.46*135</f>
        <v>1817.1000000000001</v>
      </c>
    </row>
    <row r="14" spans="1:3" ht="16.5" thickBot="1" x14ac:dyDescent="0.3">
      <c r="A14" s="33"/>
      <c r="B14" s="37"/>
      <c r="C14" s="36"/>
    </row>
    <row r="15" spans="1:3" ht="16.5" thickBot="1" x14ac:dyDescent="0.3">
      <c r="A15" s="33">
        <v>1114</v>
      </c>
      <c r="B15" s="37" t="s">
        <v>282</v>
      </c>
      <c r="C15" s="105">
        <f>SUM(C11:C13)</f>
        <v>1839.3600000000001</v>
      </c>
    </row>
    <row r="16" spans="1:3" ht="16.5" thickBot="1" x14ac:dyDescent="0.3">
      <c r="A16" s="33">
        <v>1210</v>
      </c>
      <c r="B16" s="81" t="s">
        <v>283</v>
      </c>
      <c r="C16" s="22">
        <f>ROUND(C15*23.59%,2)</f>
        <v>433.91</v>
      </c>
    </row>
    <row r="17" spans="1:3" ht="16.5" thickBot="1" x14ac:dyDescent="0.3">
      <c r="A17" s="34"/>
      <c r="B17" s="39" t="s">
        <v>8</v>
      </c>
      <c r="C17" s="92">
        <f>C15+C16</f>
        <v>2273.27</v>
      </c>
    </row>
    <row r="18" spans="1:3" ht="16.5" thickBot="1" x14ac:dyDescent="0.3">
      <c r="A18" s="34"/>
      <c r="B18" s="33" t="s">
        <v>9</v>
      </c>
      <c r="C18" s="36" t="s">
        <v>4</v>
      </c>
    </row>
    <row r="19" spans="1:3" ht="16.5" thickBot="1" x14ac:dyDescent="0.3">
      <c r="A19" s="34"/>
      <c r="B19" s="39" t="s">
        <v>17</v>
      </c>
      <c r="C19" s="36">
        <f>ROUND((C17*10%),2)</f>
        <v>227.33</v>
      </c>
    </row>
    <row r="20" spans="1:3" ht="16.5" thickBot="1" x14ac:dyDescent="0.3">
      <c r="A20" s="33"/>
      <c r="B20" s="45" t="s">
        <v>18</v>
      </c>
      <c r="C20" s="36">
        <f>ROUND((SUM(C17,C19)),2)</f>
        <v>2500.6</v>
      </c>
    </row>
    <row r="21" spans="1:3" ht="16.5" thickBot="1" x14ac:dyDescent="0.3">
      <c r="A21" s="252" t="s">
        <v>19</v>
      </c>
      <c r="B21" s="253"/>
      <c r="C21" s="89">
        <v>1</v>
      </c>
    </row>
    <row r="22" spans="1:3" ht="16.5" thickBot="1" x14ac:dyDescent="0.3">
      <c r="A22" s="252" t="s">
        <v>20</v>
      </c>
      <c r="B22" s="253"/>
      <c r="C22" s="47">
        <f>C20</f>
        <v>2500.6</v>
      </c>
    </row>
    <row r="23" spans="1:3" ht="16.5" thickBot="1" x14ac:dyDescent="0.3">
      <c r="A23" s="252" t="s">
        <v>21</v>
      </c>
      <c r="B23" s="253"/>
      <c r="C23" s="88">
        <v>1</v>
      </c>
    </row>
    <row r="24" spans="1:3" ht="16.5" thickBot="1" x14ac:dyDescent="0.3">
      <c r="A24" s="252" t="s">
        <v>22</v>
      </c>
      <c r="B24" s="253"/>
      <c r="C24" s="47">
        <f>C23*C22</f>
        <v>2500.6</v>
      </c>
    </row>
  </sheetData>
  <mergeCells count="4">
    <mergeCell ref="A21:B21"/>
    <mergeCell ref="A22:B22"/>
    <mergeCell ref="A23:B23"/>
    <mergeCell ref="A24:B24"/>
  </mergeCell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9990-0A09-4FFB-94C1-CBCB7A0AE3EB}">
  <sheetPr>
    <tabColor theme="9" tint="0.79998168889431442"/>
  </sheetPr>
  <dimension ref="A1:C24"/>
  <sheetViews>
    <sheetView zoomScale="70" zoomScaleNormal="70" workbookViewId="0">
      <selection activeCell="B11" sqref="B11"/>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451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51" t="s">
        <v>316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461</v>
      </c>
      <c r="C13" s="36">
        <f>13.46*135</f>
        <v>1817.1000000000001</v>
      </c>
    </row>
    <row r="14" spans="1:3" ht="16.5" thickBot="1" x14ac:dyDescent="0.3">
      <c r="A14" s="33"/>
      <c r="B14" s="37"/>
      <c r="C14" s="36"/>
    </row>
    <row r="15" spans="1:3" ht="16.5" thickBot="1" x14ac:dyDescent="0.3">
      <c r="A15" s="33">
        <v>1114</v>
      </c>
      <c r="B15" s="37" t="s">
        <v>282</v>
      </c>
      <c r="C15" s="105">
        <f>SUM(C11:C13)</f>
        <v>1839.3600000000001</v>
      </c>
    </row>
    <row r="16" spans="1:3" ht="16.5" thickBot="1" x14ac:dyDescent="0.3">
      <c r="A16" s="33">
        <v>1210</v>
      </c>
      <c r="B16" s="81" t="s">
        <v>283</v>
      </c>
      <c r="C16" s="22">
        <f>ROUND(C15*23.59%,2)</f>
        <v>433.91</v>
      </c>
    </row>
    <row r="17" spans="1:3" ht="16.5" thickBot="1" x14ac:dyDescent="0.3">
      <c r="A17" s="34"/>
      <c r="B17" s="39" t="s">
        <v>8</v>
      </c>
      <c r="C17" s="92">
        <f>C15+C16</f>
        <v>2273.27</v>
      </c>
    </row>
    <row r="18" spans="1:3" ht="16.5" thickBot="1" x14ac:dyDescent="0.3">
      <c r="A18" s="34"/>
      <c r="B18" s="33" t="s">
        <v>9</v>
      </c>
      <c r="C18" s="36" t="s">
        <v>4</v>
      </c>
    </row>
    <row r="19" spans="1:3" ht="16.5" thickBot="1" x14ac:dyDescent="0.3">
      <c r="A19" s="34"/>
      <c r="B19" s="39" t="s">
        <v>17</v>
      </c>
      <c r="C19" s="36">
        <f>ROUND((C17*10%),2)</f>
        <v>227.33</v>
      </c>
    </row>
    <row r="20" spans="1:3" ht="16.5" thickBot="1" x14ac:dyDescent="0.3">
      <c r="A20" s="33"/>
      <c r="B20" s="45" t="s">
        <v>18</v>
      </c>
      <c r="C20" s="36">
        <f>ROUND((SUM(C17,C19)),2)</f>
        <v>2500.6</v>
      </c>
    </row>
    <row r="21" spans="1:3" ht="16.5" thickBot="1" x14ac:dyDescent="0.3">
      <c r="A21" s="252" t="s">
        <v>19</v>
      </c>
      <c r="B21" s="253"/>
      <c r="C21" s="89">
        <v>1</v>
      </c>
    </row>
    <row r="22" spans="1:3" ht="16.5" thickBot="1" x14ac:dyDescent="0.3">
      <c r="A22" s="252" t="s">
        <v>20</v>
      </c>
      <c r="B22" s="253"/>
      <c r="C22" s="47">
        <f>C20</f>
        <v>2500.6</v>
      </c>
    </row>
    <row r="23" spans="1:3" ht="16.5" thickBot="1" x14ac:dyDescent="0.3">
      <c r="A23" s="252" t="s">
        <v>21</v>
      </c>
      <c r="B23" s="253"/>
      <c r="C23" s="88">
        <v>1</v>
      </c>
    </row>
    <row r="24" spans="1:3" ht="16.5" thickBot="1" x14ac:dyDescent="0.3">
      <c r="A24" s="252" t="s">
        <v>22</v>
      </c>
      <c r="B24" s="253"/>
      <c r="C24" s="47">
        <f>C23*C22</f>
        <v>2500.6</v>
      </c>
    </row>
  </sheetData>
  <mergeCells count="4">
    <mergeCell ref="A21:B21"/>
    <mergeCell ref="A22:B22"/>
    <mergeCell ref="A23:B23"/>
    <mergeCell ref="A24:B24"/>
  </mergeCell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6883-5E45-4080-829A-9352455FF8B8}">
  <sheetPr>
    <tabColor theme="9" tint="0.79998168889431442"/>
  </sheetPr>
  <dimension ref="A1:C25"/>
  <sheetViews>
    <sheetView zoomScale="70" zoomScaleNormal="70" workbookViewId="0">
      <selection activeCell="A7" sqref="A7"/>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452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51" t="s">
        <v>316</v>
      </c>
      <c r="C10" s="33"/>
    </row>
    <row r="11" spans="1:3" ht="63.75" thickBot="1" x14ac:dyDescent="0.3">
      <c r="A11" s="33">
        <v>1114</v>
      </c>
      <c r="B11" s="37" t="s">
        <v>303</v>
      </c>
      <c r="C11" s="36">
        <f>11.13*1</f>
        <v>11.13</v>
      </c>
    </row>
    <row r="12" spans="1:3" ht="16.5" thickBot="1" x14ac:dyDescent="0.3">
      <c r="A12" s="33"/>
      <c r="B12" s="51" t="s">
        <v>356</v>
      </c>
      <c r="C12" s="36"/>
    </row>
    <row r="13" spans="1:3" ht="63.75" thickBot="1" x14ac:dyDescent="0.3">
      <c r="A13" s="33">
        <v>1114</v>
      </c>
      <c r="B13" s="37" t="s">
        <v>462</v>
      </c>
      <c r="C13" s="36">
        <f>13.46*162</f>
        <v>2180.52</v>
      </c>
    </row>
    <row r="14" spans="1:3" ht="63.75" thickBot="1" x14ac:dyDescent="0.3">
      <c r="A14" s="33">
        <v>1114</v>
      </c>
      <c r="B14" s="37" t="s">
        <v>463</v>
      </c>
      <c r="C14" s="36">
        <f>16.8*1</f>
        <v>16.8</v>
      </c>
    </row>
    <row r="15" spans="1:3" ht="16.5" thickBot="1" x14ac:dyDescent="0.3">
      <c r="A15" s="33"/>
      <c r="B15" s="37"/>
      <c r="C15" s="36"/>
    </row>
    <row r="16" spans="1:3" ht="16.5" thickBot="1" x14ac:dyDescent="0.3">
      <c r="A16" s="33">
        <v>1114</v>
      </c>
      <c r="B16" s="37" t="s">
        <v>282</v>
      </c>
      <c r="C16" s="105">
        <f>SUM(C11:C14)</f>
        <v>2208.4500000000003</v>
      </c>
    </row>
    <row r="17" spans="1:3" ht="16.5" thickBot="1" x14ac:dyDescent="0.3">
      <c r="A17" s="33">
        <v>1210</v>
      </c>
      <c r="B17" s="81" t="s">
        <v>283</v>
      </c>
      <c r="C17" s="22">
        <f>ROUND(C16*23.59%,2)</f>
        <v>520.97</v>
      </c>
    </row>
    <row r="18" spans="1:3" ht="16.5" thickBot="1" x14ac:dyDescent="0.3">
      <c r="A18" s="34"/>
      <c r="B18" s="39" t="s">
        <v>8</v>
      </c>
      <c r="C18" s="92">
        <f>C16+C17</f>
        <v>2729.42</v>
      </c>
    </row>
    <row r="19" spans="1:3" ht="16.5" thickBot="1" x14ac:dyDescent="0.3">
      <c r="A19" s="34"/>
      <c r="B19" s="33" t="s">
        <v>9</v>
      </c>
      <c r="C19" s="36" t="s">
        <v>4</v>
      </c>
    </row>
    <row r="20" spans="1:3" ht="16.5" thickBot="1" x14ac:dyDescent="0.3">
      <c r="A20" s="34"/>
      <c r="B20" s="39" t="s">
        <v>17</v>
      </c>
      <c r="C20" s="36">
        <f>ROUND((C18*10%),2)</f>
        <v>272.94</v>
      </c>
    </row>
    <row r="21" spans="1:3" ht="16.5" thickBot="1" x14ac:dyDescent="0.3">
      <c r="A21" s="33"/>
      <c r="B21" s="45" t="s">
        <v>18</v>
      </c>
      <c r="C21" s="36">
        <f>ROUND((SUM(C18,C20)),2)</f>
        <v>3002.36</v>
      </c>
    </row>
    <row r="22" spans="1:3" ht="16.5" thickBot="1" x14ac:dyDescent="0.3">
      <c r="A22" s="252" t="s">
        <v>19</v>
      </c>
      <c r="B22" s="253"/>
      <c r="C22" s="89">
        <v>1</v>
      </c>
    </row>
    <row r="23" spans="1:3" ht="16.5" thickBot="1" x14ac:dyDescent="0.3">
      <c r="A23" s="252" t="s">
        <v>20</v>
      </c>
      <c r="B23" s="253"/>
      <c r="C23" s="47">
        <f>C21</f>
        <v>3002.36</v>
      </c>
    </row>
    <row r="24" spans="1:3" ht="16.5" thickBot="1" x14ac:dyDescent="0.3">
      <c r="A24" s="252" t="s">
        <v>21</v>
      </c>
      <c r="B24" s="253"/>
      <c r="C24" s="88">
        <v>1</v>
      </c>
    </row>
    <row r="25" spans="1:3" ht="16.5" thickBot="1" x14ac:dyDescent="0.3">
      <c r="A25" s="252" t="s">
        <v>22</v>
      </c>
      <c r="B25" s="253"/>
      <c r="C25" s="47">
        <f>C24*C23</f>
        <v>3002.36</v>
      </c>
    </row>
  </sheetData>
  <mergeCells count="4">
    <mergeCell ref="A22:B22"/>
    <mergeCell ref="A23:B23"/>
    <mergeCell ref="A24:B24"/>
    <mergeCell ref="A25:B25"/>
  </mergeCell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D2BF-D56F-4B7A-9818-B56C9D8BB319}">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453</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51" t="s">
        <v>316</v>
      </c>
      <c r="C10" s="33"/>
    </row>
    <row r="11" spans="1:3" ht="63.75" thickBot="1" x14ac:dyDescent="0.3">
      <c r="A11" s="33">
        <v>1114</v>
      </c>
      <c r="B11" s="37" t="s">
        <v>303</v>
      </c>
      <c r="C11" s="36">
        <f>11.13*1</f>
        <v>11.13</v>
      </c>
    </row>
    <row r="12" spans="1:3" ht="16.5" thickBot="1" x14ac:dyDescent="0.3">
      <c r="A12" s="33"/>
      <c r="B12" s="51" t="s">
        <v>356</v>
      </c>
      <c r="C12" s="36"/>
    </row>
    <row r="13" spans="1:3" ht="63.75" thickBot="1" x14ac:dyDescent="0.3">
      <c r="A13" s="33">
        <v>1114</v>
      </c>
      <c r="B13" s="37" t="s">
        <v>464</v>
      </c>
      <c r="C13" s="36">
        <f>13.46*162</f>
        <v>2180.52</v>
      </c>
    </row>
    <row r="14" spans="1:3" ht="63.75" thickBot="1" x14ac:dyDescent="0.3">
      <c r="A14" s="33">
        <v>1114</v>
      </c>
      <c r="B14" s="37" t="s">
        <v>463</v>
      </c>
      <c r="C14" s="36">
        <f>16.8*1</f>
        <v>16.8</v>
      </c>
    </row>
    <row r="15" spans="1:3" ht="16.5" thickBot="1" x14ac:dyDescent="0.3">
      <c r="A15" s="33"/>
      <c r="B15" s="37"/>
      <c r="C15" s="36"/>
    </row>
    <row r="16" spans="1:3" ht="16.5" thickBot="1" x14ac:dyDescent="0.3">
      <c r="A16" s="33">
        <v>1114</v>
      </c>
      <c r="B16" s="37" t="s">
        <v>282</v>
      </c>
      <c r="C16" s="105">
        <f>SUM(C11:C14)</f>
        <v>2208.4500000000003</v>
      </c>
    </row>
    <row r="17" spans="1:3" ht="16.5" thickBot="1" x14ac:dyDescent="0.3">
      <c r="A17" s="33">
        <v>1210</v>
      </c>
      <c r="B17" s="81" t="s">
        <v>283</v>
      </c>
      <c r="C17" s="22">
        <f>ROUND(C16*23.59%,2)</f>
        <v>520.97</v>
      </c>
    </row>
    <row r="18" spans="1:3" ht="16.5" thickBot="1" x14ac:dyDescent="0.3">
      <c r="A18" s="34"/>
      <c r="B18" s="39" t="s">
        <v>8</v>
      </c>
      <c r="C18" s="92">
        <f>C16+C17</f>
        <v>2729.42</v>
      </c>
    </row>
    <row r="19" spans="1:3" ht="16.5" thickBot="1" x14ac:dyDescent="0.3">
      <c r="A19" s="34"/>
      <c r="B19" s="33" t="s">
        <v>9</v>
      </c>
      <c r="C19" s="36" t="s">
        <v>4</v>
      </c>
    </row>
    <row r="20" spans="1:3" ht="16.5" thickBot="1" x14ac:dyDescent="0.3">
      <c r="A20" s="34"/>
      <c r="B20" s="39" t="s">
        <v>17</v>
      </c>
      <c r="C20" s="36">
        <f>ROUND((C18*10%),2)</f>
        <v>272.94</v>
      </c>
    </row>
    <row r="21" spans="1:3" ht="16.5" thickBot="1" x14ac:dyDescent="0.3">
      <c r="A21" s="33"/>
      <c r="B21" s="45" t="s">
        <v>18</v>
      </c>
      <c r="C21" s="36">
        <f>ROUND((SUM(C18,C20)),2)</f>
        <v>3002.36</v>
      </c>
    </row>
    <row r="22" spans="1:3" ht="16.5" thickBot="1" x14ac:dyDescent="0.3">
      <c r="A22" s="252" t="s">
        <v>19</v>
      </c>
      <c r="B22" s="253"/>
      <c r="C22" s="89">
        <v>1</v>
      </c>
    </row>
    <row r="23" spans="1:3" ht="16.5" thickBot="1" x14ac:dyDescent="0.3">
      <c r="A23" s="252" t="s">
        <v>20</v>
      </c>
      <c r="B23" s="253"/>
      <c r="C23" s="47">
        <f>C21</f>
        <v>3002.36</v>
      </c>
    </row>
    <row r="24" spans="1:3" ht="16.5" thickBot="1" x14ac:dyDescent="0.3">
      <c r="A24" s="252" t="s">
        <v>21</v>
      </c>
      <c r="B24" s="253"/>
      <c r="C24" s="88">
        <v>1</v>
      </c>
    </row>
    <row r="25" spans="1:3" ht="16.5" thickBot="1" x14ac:dyDescent="0.3">
      <c r="A25" s="252" t="s">
        <v>22</v>
      </c>
      <c r="B25" s="253"/>
      <c r="C25" s="47">
        <f>C24*C23</f>
        <v>3002.36</v>
      </c>
    </row>
  </sheetData>
  <mergeCells count="4">
    <mergeCell ref="A22:B22"/>
    <mergeCell ref="A23:B23"/>
    <mergeCell ref="A24:B24"/>
    <mergeCell ref="A25:B25"/>
  </mergeCell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D141-06DC-4DB1-A7C6-C3ABEF0D0337}">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50.25" x14ac:dyDescent="0.25">
      <c r="A2" s="31" t="s">
        <v>68</v>
      </c>
      <c r="B2" s="49" t="s">
        <v>455</v>
      </c>
    </row>
    <row r="3" spans="1:3" ht="15.75" x14ac:dyDescent="0.25">
      <c r="A3" s="31"/>
      <c r="B3" s="49" t="s">
        <v>454</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51" t="s">
        <v>316</v>
      </c>
      <c r="C10" s="33"/>
    </row>
    <row r="11" spans="1:3" ht="63.75" thickBot="1" x14ac:dyDescent="0.3">
      <c r="A11" s="33">
        <v>1114</v>
      </c>
      <c r="B11" s="37" t="s">
        <v>465</v>
      </c>
      <c r="C11" s="36">
        <f>11.13*0.5</f>
        <v>5.5650000000000004</v>
      </c>
    </row>
    <row r="12" spans="1:3" ht="16.5" thickBot="1" x14ac:dyDescent="0.3">
      <c r="A12" s="33"/>
      <c r="B12" s="51" t="s">
        <v>356</v>
      </c>
      <c r="C12" s="36"/>
    </row>
    <row r="13" spans="1:3" ht="63.75" thickBot="1" x14ac:dyDescent="0.3">
      <c r="A13" s="33">
        <v>1114</v>
      </c>
      <c r="B13" s="37" t="s">
        <v>467</v>
      </c>
      <c r="C13" s="36">
        <f>13.46*53</f>
        <v>713.38</v>
      </c>
    </row>
    <row r="14" spans="1:3" ht="63.75" thickBot="1" x14ac:dyDescent="0.3">
      <c r="A14" s="33">
        <v>1114</v>
      </c>
      <c r="B14" s="37" t="s">
        <v>463</v>
      </c>
      <c r="C14" s="36">
        <f>16.8*1</f>
        <v>16.8</v>
      </c>
    </row>
    <row r="15" spans="1:3" ht="16.5" thickBot="1" x14ac:dyDescent="0.3">
      <c r="A15" s="33"/>
      <c r="B15" s="37"/>
      <c r="C15" s="36"/>
    </row>
    <row r="16" spans="1:3" ht="16.5" thickBot="1" x14ac:dyDescent="0.3">
      <c r="A16" s="33">
        <v>1114</v>
      </c>
      <c r="B16" s="37" t="s">
        <v>282</v>
      </c>
      <c r="C16" s="105">
        <f>SUM(C11:C14)</f>
        <v>735.745</v>
      </c>
    </row>
    <row r="17" spans="1:3" ht="16.5" thickBot="1" x14ac:dyDescent="0.3">
      <c r="A17" s="33">
        <v>1210</v>
      </c>
      <c r="B17" s="81" t="s">
        <v>283</v>
      </c>
      <c r="C17" s="22">
        <f>ROUND(C16*23.59%,2)</f>
        <v>173.56</v>
      </c>
    </row>
    <row r="18" spans="1:3" ht="16.5" thickBot="1" x14ac:dyDescent="0.3">
      <c r="A18" s="34"/>
      <c r="B18" s="39" t="s">
        <v>8</v>
      </c>
      <c r="C18" s="92">
        <f>C16+C17</f>
        <v>909.30500000000006</v>
      </c>
    </row>
    <row r="19" spans="1:3" ht="16.5" thickBot="1" x14ac:dyDescent="0.3">
      <c r="A19" s="34"/>
      <c r="B19" s="33" t="s">
        <v>9</v>
      </c>
      <c r="C19" s="36" t="s">
        <v>4</v>
      </c>
    </row>
    <row r="20" spans="1:3" ht="16.5" thickBot="1" x14ac:dyDescent="0.3">
      <c r="A20" s="34"/>
      <c r="B20" s="39" t="s">
        <v>17</v>
      </c>
      <c r="C20" s="36">
        <f>ROUND((C18*10%),2)</f>
        <v>90.93</v>
      </c>
    </row>
    <row r="21" spans="1:3" ht="16.5" thickBot="1" x14ac:dyDescent="0.3">
      <c r="A21" s="33"/>
      <c r="B21" s="45" t="s">
        <v>18</v>
      </c>
      <c r="C21" s="36">
        <f>ROUND((SUM(C18,C20)),2)</f>
        <v>1000.24</v>
      </c>
    </row>
    <row r="22" spans="1:3" ht="16.5" thickBot="1" x14ac:dyDescent="0.3">
      <c r="A22" s="252" t="s">
        <v>19</v>
      </c>
      <c r="B22" s="253"/>
      <c r="C22" s="89">
        <v>1</v>
      </c>
    </row>
    <row r="23" spans="1:3" ht="16.5" thickBot="1" x14ac:dyDescent="0.3">
      <c r="A23" s="252" t="s">
        <v>20</v>
      </c>
      <c r="B23" s="253"/>
      <c r="C23" s="47">
        <f>C21</f>
        <v>1000.24</v>
      </c>
    </row>
    <row r="24" spans="1:3" ht="16.5" thickBot="1" x14ac:dyDescent="0.3">
      <c r="A24" s="252" t="s">
        <v>21</v>
      </c>
      <c r="B24" s="253"/>
      <c r="C24" s="88">
        <v>1</v>
      </c>
    </row>
    <row r="25" spans="1:3" ht="16.5" thickBot="1" x14ac:dyDescent="0.3">
      <c r="A25" s="252" t="s">
        <v>22</v>
      </c>
      <c r="B25" s="253"/>
      <c r="C25" s="47">
        <f>C24*C23</f>
        <v>1000.24</v>
      </c>
    </row>
  </sheetData>
  <mergeCells count="4">
    <mergeCell ref="A22:B22"/>
    <mergeCell ref="A23:B23"/>
    <mergeCell ref="A24:B24"/>
    <mergeCell ref="A25:B25"/>
  </mergeCell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3376-FC0C-4284-8270-2609E59E3402}">
  <sheetPr>
    <tabColor theme="9" tint="0.79998168889431442"/>
  </sheetPr>
  <dimension ref="A1:C29"/>
  <sheetViews>
    <sheetView topLeftCell="A11"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469</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303</v>
      </c>
      <c r="C11" s="36">
        <f>11.13*1</f>
        <v>11.13</v>
      </c>
    </row>
    <row r="12" spans="1:3" ht="63.75" thickBot="1" x14ac:dyDescent="0.3">
      <c r="A12" s="33">
        <v>1114</v>
      </c>
      <c r="B12" s="37" t="s">
        <v>470</v>
      </c>
      <c r="C12" s="36">
        <f>13.46*8</f>
        <v>107.68</v>
      </c>
    </row>
    <row r="13" spans="1:3" ht="63.75" thickBot="1" x14ac:dyDescent="0.3">
      <c r="A13" s="33">
        <v>1114</v>
      </c>
      <c r="B13" s="37" t="s">
        <v>317</v>
      </c>
      <c r="C13" s="36">
        <f t="shared" ref="C13:C18" si="0">13.46*8</f>
        <v>107.68</v>
      </c>
    </row>
    <row r="14" spans="1:3" ht="63.75" thickBot="1" x14ac:dyDescent="0.3">
      <c r="A14" s="33">
        <v>1114</v>
      </c>
      <c r="B14" s="37" t="s">
        <v>294</v>
      </c>
      <c r="C14" s="36">
        <f t="shared" si="0"/>
        <v>107.68</v>
      </c>
    </row>
    <row r="15" spans="1:3" ht="63.75" thickBot="1" x14ac:dyDescent="0.3">
      <c r="A15" s="33">
        <v>1114</v>
      </c>
      <c r="B15" s="37" t="s">
        <v>456</v>
      </c>
      <c r="C15" s="36">
        <f t="shared" si="0"/>
        <v>107.68</v>
      </c>
    </row>
    <row r="16" spans="1:3" ht="63.75" thickBot="1" x14ac:dyDescent="0.3">
      <c r="A16" s="33">
        <v>1114</v>
      </c>
      <c r="B16" s="37" t="s">
        <v>457</v>
      </c>
      <c r="C16" s="36">
        <f t="shared" si="0"/>
        <v>107.68</v>
      </c>
    </row>
    <row r="17" spans="1:3" ht="63.75" thickBot="1" x14ac:dyDescent="0.3">
      <c r="A17" s="33">
        <v>1114</v>
      </c>
      <c r="B17" s="37" t="s">
        <v>295</v>
      </c>
      <c r="C17" s="36">
        <f t="shared" si="0"/>
        <v>107.68</v>
      </c>
    </row>
    <row r="18" spans="1:3" ht="63.75" thickBot="1" x14ac:dyDescent="0.3">
      <c r="A18" s="33">
        <v>1114</v>
      </c>
      <c r="B18" s="37" t="s">
        <v>458</v>
      </c>
      <c r="C18" s="36">
        <f t="shared" si="0"/>
        <v>107.68</v>
      </c>
    </row>
    <row r="19" spans="1:3" ht="16.5" thickBot="1" x14ac:dyDescent="0.3">
      <c r="A19" s="33"/>
      <c r="B19" s="37"/>
      <c r="C19" s="36"/>
    </row>
    <row r="20" spans="1:3" ht="16.5" thickBot="1" x14ac:dyDescent="0.3">
      <c r="A20" s="33">
        <v>1114</v>
      </c>
      <c r="B20" s="37" t="s">
        <v>282</v>
      </c>
      <c r="C20" s="105">
        <f>SUM(C11:C18)</f>
        <v>764.8900000000001</v>
      </c>
    </row>
    <row r="21" spans="1:3" ht="16.5" thickBot="1" x14ac:dyDescent="0.3">
      <c r="A21" s="33">
        <v>1210</v>
      </c>
      <c r="B21" s="81" t="s">
        <v>283</v>
      </c>
      <c r="C21" s="144">
        <f>ROUND(C20*23.59%,2)</f>
        <v>180.44</v>
      </c>
    </row>
    <row r="22" spans="1:3" ht="16.5" thickBot="1" x14ac:dyDescent="0.3">
      <c r="A22" s="34"/>
      <c r="B22" s="39" t="s">
        <v>8</v>
      </c>
      <c r="C22" s="92">
        <f>C20+C21</f>
        <v>945.33000000000015</v>
      </c>
    </row>
    <row r="23" spans="1:3" ht="16.5" thickBot="1" x14ac:dyDescent="0.3">
      <c r="A23" s="34"/>
      <c r="B23" s="33" t="s">
        <v>9</v>
      </c>
      <c r="C23" s="36" t="s">
        <v>4</v>
      </c>
    </row>
    <row r="24" spans="1:3" ht="16.5" thickBot="1" x14ac:dyDescent="0.3">
      <c r="A24" s="34"/>
      <c r="B24" s="39" t="s">
        <v>17</v>
      </c>
      <c r="C24" s="36">
        <f>ROUND((C22*10%),2)</f>
        <v>94.53</v>
      </c>
    </row>
    <row r="25" spans="1:3" ht="16.5" thickBot="1" x14ac:dyDescent="0.3">
      <c r="A25" s="33"/>
      <c r="B25" s="45" t="s">
        <v>18</v>
      </c>
      <c r="C25" s="36">
        <f>ROUND((SUM(C22,C24)),2)</f>
        <v>1039.8599999999999</v>
      </c>
    </row>
    <row r="26" spans="1:3" ht="16.5" thickBot="1" x14ac:dyDescent="0.3">
      <c r="A26" s="252" t="s">
        <v>19</v>
      </c>
      <c r="B26" s="253"/>
      <c r="C26" s="89">
        <v>1</v>
      </c>
    </row>
    <row r="27" spans="1:3" ht="16.5" thickBot="1" x14ac:dyDescent="0.3">
      <c r="A27" s="252" t="s">
        <v>20</v>
      </c>
      <c r="B27" s="253"/>
      <c r="C27" s="47">
        <f>C25</f>
        <v>1039.8599999999999</v>
      </c>
    </row>
    <row r="28" spans="1:3" ht="16.5" thickBot="1" x14ac:dyDescent="0.3">
      <c r="A28" s="252" t="s">
        <v>21</v>
      </c>
      <c r="B28" s="253"/>
      <c r="C28" s="88">
        <v>1</v>
      </c>
    </row>
    <row r="29" spans="1:3" ht="16.5" thickBot="1" x14ac:dyDescent="0.3">
      <c r="A29" s="252" t="s">
        <v>22</v>
      </c>
      <c r="B29" s="253"/>
      <c r="C29" s="47">
        <f>C28*C27</f>
        <v>1039.8599999999999</v>
      </c>
    </row>
  </sheetData>
  <mergeCells count="4">
    <mergeCell ref="A26:B26"/>
    <mergeCell ref="A27:B27"/>
    <mergeCell ref="A28:B28"/>
    <mergeCell ref="A29:B29"/>
  </mergeCell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FE2D-85E2-4448-AE2E-FC19B6995903}">
  <sheetPr>
    <tabColor theme="9" tint="0.79998168889431442"/>
  </sheetPr>
  <dimension ref="A1:C25"/>
  <sheetViews>
    <sheetView zoomScale="70" zoomScaleNormal="70" workbookViewId="0">
      <selection activeCell="B13" sqref="B13"/>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471</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440</v>
      </c>
      <c r="C13" s="36">
        <f>13.46*104</f>
        <v>1399.8400000000001</v>
      </c>
    </row>
    <row r="14" spans="1:3" ht="63.75" thickBot="1" x14ac:dyDescent="0.3">
      <c r="A14" s="33">
        <v>1114</v>
      </c>
      <c r="B14" s="37" t="s">
        <v>306</v>
      </c>
      <c r="C14" s="36">
        <f>16.8*3</f>
        <v>50.400000000000006</v>
      </c>
    </row>
    <row r="15" spans="1:3" ht="16.5" thickBot="1" x14ac:dyDescent="0.3">
      <c r="A15" s="33"/>
      <c r="B15" s="37"/>
      <c r="C15" s="36"/>
    </row>
    <row r="16" spans="1:3" ht="16.5" thickBot="1" x14ac:dyDescent="0.3">
      <c r="A16" s="33">
        <v>1114</v>
      </c>
      <c r="B16" s="37" t="s">
        <v>282</v>
      </c>
      <c r="C16" s="105">
        <f>SUM(C11:C14)</f>
        <v>1472.5000000000002</v>
      </c>
    </row>
    <row r="17" spans="1:3" ht="16.5" thickBot="1" x14ac:dyDescent="0.3">
      <c r="A17" s="33">
        <v>1210</v>
      </c>
      <c r="B17" s="81" t="s">
        <v>283</v>
      </c>
      <c r="C17" s="144">
        <f>ROUND(C16*23.59%,2)</f>
        <v>347.36</v>
      </c>
    </row>
    <row r="18" spans="1:3" ht="16.5" thickBot="1" x14ac:dyDescent="0.3">
      <c r="A18" s="34"/>
      <c r="B18" s="39" t="s">
        <v>8</v>
      </c>
      <c r="C18" s="92">
        <f>C16+C17</f>
        <v>1819.8600000000001</v>
      </c>
    </row>
    <row r="19" spans="1:3" ht="16.5" thickBot="1" x14ac:dyDescent="0.3">
      <c r="A19" s="34"/>
      <c r="B19" s="33" t="s">
        <v>9</v>
      </c>
      <c r="C19" s="36" t="s">
        <v>4</v>
      </c>
    </row>
    <row r="20" spans="1:3" ht="16.5" thickBot="1" x14ac:dyDescent="0.3">
      <c r="A20" s="34"/>
      <c r="B20" s="39" t="s">
        <v>17</v>
      </c>
      <c r="C20" s="36">
        <f>ROUND((C18*10%),2)</f>
        <v>181.99</v>
      </c>
    </row>
    <row r="21" spans="1:3" ht="16.5" thickBot="1" x14ac:dyDescent="0.3">
      <c r="A21" s="33"/>
      <c r="B21" s="45" t="s">
        <v>18</v>
      </c>
      <c r="C21" s="36">
        <f>ROUND((SUM(C18,C20)),2)</f>
        <v>2001.85</v>
      </c>
    </row>
    <row r="22" spans="1:3" ht="16.5" thickBot="1" x14ac:dyDescent="0.3">
      <c r="A22" s="252" t="s">
        <v>19</v>
      </c>
      <c r="B22" s="253"/>
      <c r="C22" s="89">
        <v>1</v>
      </c>
    </row>
    <row r="23" spans="1:3" ht="16.5" thickBot="1" x14ac:dyDescent="0.3">
      <c r="A23" s="252" t="s">
        <v>20</v>
      </c>
      <c r="B23" s="253"/>
      <c r="C23" s="47">
        <f>C21</f>
        <v>2001.85</v>
      </c>
    </row>
    <row r="24" spans="1:3" ht="16.5" thickBot="1" x14ac:dyDescent="0.3">
      <c r="A24" s="252" t="s">
        <v>21</v>
      </c>
      <c r="B24" s="253"/>
      <c r="C24" s="88">
        <v>1</v>
      </c>
    </row>
    <row r="25" spans="1:3" ht="16.5" thickBot="1" x14ac:dyDescent="0.3">
      <c r="A25" s="252" t="s">
        <v>22</v>
      </c>
      <c r="B25" s="253"/>
      <c r="C25" s="47">
        <f>C24*C23</f>
        <v>2001.85</v>
      </c>
    </row>
  </sheetData>
  <mergeCells count="4">
    <mergeCell ref="A22:B22"/>
    <mergeCell ref="A23:B23"/>
    <mergeCell ref="A24:B24"/>
    <mergeCell ref="A25:B25"/>
  </mergeCell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AACE-6F43-4BD8-803B-6123B71A20CD}">
  <sheetPr>
    <tabColor theme="9" tint="0.79998168889431442"/>
  </sheetPr>
  <dimension ref="A1:C21"/>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472</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63.75" thickBot="1" x14ac:dyDescent="0.3">
      <c r="A10" s="33">
        <v>1114</v>
      </c>
      <c r="B10" s="37" t="s">
        <v>441</v>
      </c>
      <c r="C10" s="36">
        <f>16.8*88</f>
        <v>1478.4</v>
      </c>
    </row>
    <row r="11" spans="1:3" ht="16.5" thickBot="1" x14ac:dyDescent="0.3">
      <c r="A11" s="33"/>
      <c r="B11" s="37"/>
      <c r="C11" s="36"/>
    </row>
    <row r="12" spans="1:3" ht="16.5" thickBot="1" x14ac:dyDescent="0.3">
      <c r="A12" s="33">
        <v>1114</v>
      </c>
      <c r="B12" s="37" t="s">
        <v>282</v>
      </c>
      <c r="C12" s="105">
        <f>SUM(C10:C10)</f>
        <v>1478.4</v>
      </c>
    </row>
    <row r="13" spans="1:3" ht="16.5" thickBot="1" x14ac:dyDescent="0.3">
      <c r="A13" s="33">
        <v>1210</v>
      </c>
      <c r="B13" s="81" t="s">
        <v>283</v>
      </c>
      <c r="C13" s="144">
        <f>ROUND(C12*23.59%,2)</f>
        <v>348.75</v>
      </c>
    </row>
    <row r="14" spans="1:3" ht="16.5" thickBot="1" x14ac:dyDescent="0.3">
      <c r="A14" s="34"/>
      <c r="B14" s="39" t="s">
        <v>8</v>
      </c>
      <c r="C14" s="92">
        <f>C12+C13</f>
        <v>1827.15</v>
      </c>
    </row>
    <row r="15" spans="1:3" ht="16.5" thickBot="1" x14ac:dyDescent="0.3">
      <c r="A15" s="34"/>
      <c r="B15" s="33" t="s">
        <v>9</v>
      </c>
      <c r="C15" s="36" t="s">
        <v>4</v>
      </c>
    </row>
    <row r="16" spans="1:3" ht="16.5" thickBot="1" x14ac:dyDescent="0.3">
      <c r="A16" s="34"/>
      <c r="B16" s="39" t="s">
        <v>17</v>
      </c>
      <c r="C16" s="36">
        <f>ROUND((C14*10%),2)</f>
        <v>182.72</v>
      </c>
    </row>
    <row r="17" spans="1:3" ht="16.5" thickBot="1" x14ac:dyDescent="0.3">
      <c r="A17" s="33"/>
      <c r="B17" s="45" t="s">
        <v>18</v>
      </c>
      <c r="C17" s="36">
        <f>ROUND((SUM(C14,C16)),2)</f>
        <v>2009.87</v>
      </c>
    </row>
    <row r="18" spans="1:3" ht="16.5" thickBot="1" x14ac:dyDescent="0.3">
      <c r="A18" s="252" t="s">
        <v>19</v>
      </c>
      <c r="B18" s="253"/>
      <c r="C18" s="89">
        <v>1</v>
      </c>
    </row>
    <row r="19" spans="1:3" ht="16.5" thickBot="1" x14ac:dyDescent="0.3">
      <c r="A19" s="252" t="s">
        <v>20</v>
      </c>
      <c r="B19" s="253"/>
      <c r="C19" s="47">
        <f>C17</f>
        <v>2009.87</v>
      </c>
    </row>
    <row r="20" spans="1:3" ht="16.5" thickBot="1" x14ac:dyDescent="0.3">
      <c r="A20" s="252" t="s">
        <v>21</v>
      </c>
      <c r="B20" s="253"/>
      <c r="C20" s="88">
        <v>1</v>
      </c>
    </row>
    <row r="21" spans="1:3" ht="16.5" thickBot="1" x14ac:dyDescent="0.3">
      <c r="A21" s="252" t="s">
        <v>22</v>
      </c>
      <c r="B21" s="253"/>
      <c r="C21" s="47">
        <f>C20*C19</f>
        <v>2009.87</v>
      </c>
    </row>
  </sheetData>
  <mergeCells count="4">
    <mergeCell ref="A18:B18"/>
    <mergeCell ref="A19:B19"/>
    <mergeCell ref="A20:B20"/>
    <mergeCell ref="A21:B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8C72-C476-4134-AC0E-D8486BF0CCDA}">
  <sheetPr>
    <tabColor theme="9" tint="0.79998168889431442"/>
  </sheetPr>
  <dimension ref="A4:C39"/>
  <sheetViews>
    <sheetView zoomScale="70" zoomScaleNormal="70" workbookViewId="0">
      <selection activeCell="A4" sqref="A4"/>
    </sheetView>
  </sheetViews>
  <sheetFormatPr defaultRowHeight="15" x14ac:dyDescent="0.25"/>
  <cols>
    <col min="1" max="1" width="21.140625" bestFit="1" customWidth="1"/>
    <col min="2" max="2" width="155.42578125" customWidth="1"/>
    <col min="3" max="3" width="26.42578125" customWidth="1"/>
  </cols>
  <sheetData>
    <row r="4" spans="1:3" ht="15.75" x14ac:dyDescent="0.25">
      <c r="A4" s="28" t="s">
        <v>66</v>
      </c>
      <c r="B4" s="29" t="s">
        <v>67</v>
      </c>
      <c r="C4" s="30"/>
    </row>
    <row r="5" spans="1:3" ht="31.5" x14ac:dyDescent="0.25">
      <c r="A5" s="31" t="s">
        <v>68</v>
      </c>
      <c r="B5" s="252" t="s">
        <v>185</v>
      </c>
      <c r="C5" s="252"/>
    </row>
    <row r="6" spans="1:3" ht="15.75" x14ac:dyDescent="0.25">
      <c r="A6" s="31"/>
      <c r="B6" s="32" t="s">
        <v>202</v>
      </c>
      <c r="C6" s="32"/>
    </row>
    <row r="7" spans="1:3" ht="15.75" x14ac:dyDescent="0.25">
      <c r="A7" s="31" t="s">
        <v>71</v>
      </c>
      <c r="B7" s="32" t="s">
        <v>203</v>
      </c>
      <c r="C7" s="32"/>
    </row>
    <row r="8" spans="1:3" ht="15.75" x14ac:dyDescent="0.25">
      <c r="A8" s="29"/>
      <c r="B8" s="29"/>
      <c r="C8" s="30"/>
    </row>
    <row r="9" spans="1:3" ht="15.75" x14ac:dyDescent="0.25">
      <c r="A9" s="29"/>
      <c r="B9" s="29"/>
      <c r="C9" s="30"/>
    </row>
    <row r="10" spans="1:3" ht="63" x14ac:dyDescent="0.25">
      <c r="A10" s="112" t="s">
        <v>0</v>
      </c>
      <c r="B10" s="112" t="s">
        <v>1</v>
      </c>
      <c r="C10" s="112" t="s">
        <v>2</v>
      </c>
    </row>
    <row r="11" spans="1:3" ht="15.75" x14ac:dyDescent="0.25">
      <c r="A11" s="112">
        <v>1</v>
      </c>
      <c r="B11" s="112">
        <v>2</v>
      </c>
      <c r="C11" s="112">
        <v>3</v>
      </c>
    </row>
    <row r="12" spans="1:3" ht="15.75" x14ac:dyDescent="0.25">
      <c r="A12" s="113"/>
      <c r="B12" s="112" t="s">
        <v>3</v>
      </c>
      <c r="C12" s="112" t="s">
        <v>4</v>
      </c>
    </row>
    <row r="13" spans="1:3" ht="15.75" x14ac:dyDescent="0.25">
      <c r="A13" s="113"/>
      <c r="B13" s="94" t="s">
        <v>188</v>
      </c>
      <c r="C13" s="112"/>
    </row>
    <row r="14" spans="1:3" ht="94.5" x14ac:dyDescent="0.25">
      <c r="A14" s="93">
        <v>1100</v>
      </c>
      <c r="B14" s="114" t="s">
        <v>189</v>
      </c>
      <c r="C14" s="115">
        <f>ROUND((9.63*0.25),2)</f>
        <v>2.41</v>
      </c>
    </row>
    <row r="15" spans="1:3" ht="15.75" x14ac:dyDescent="0.25">
      <c r="A15" s="93">
        <v>2341</v>
      </c>
      <c r="B15" s="114" t="s">
        <v>190</v>
      </c>
      <c r="C15" s="112">
        <v>3.3</v>
      </c>
    </row>
    <row r="16" spans="1:3" ht="15.75" x14ac:dyDescent="0.25">
      <c r="A16" s="116">
        <v>2239</v>
      </c>
      <c r="B16" s="117" t="s">
        <v>191</v>
      </c>
      <c r="C16" s="112">
        <v>0.23</v>
      </c>
    </row>
    <row r="17" spans="1:3" ht="15.75" x14ac:dyDescent="0.25">
      <c r="A17" s="113"/>
      <c r="B17" s="118" t="s">
        <v>39</v>
      </c>
      <c r="C17" s="119">
        <f>SUM(C14:C16)</f>
        <v>5.94</v>
      </c>
    </row>
    <row r="18" spans="1:3" ht="15.75" x14ac:dyDescent="0.25">
      <c r="A18" s="113"/>
      <c r="B18" s="94" t="s">
        <v>40</v>
      </c>
      <c r="C18" s="120"/>
    </row>
    <row r="19" spans="1:3" ht="15.75" x14ac:dyDescent="0.25">
      <c r="A19" s="113"/>
      <c r="B19" s="121" t="s">
        <v>204</v>
      </c>
      <c r="C19" s="120"/>
    </row>
    <row r="20" spans="1:3" ht="94.5" x14ac:dyDescent="0.25">
      <c r="A20" s="93">
        <v>1100</v>
      </c>
      <c r="B20" s="114" t="s">
        <v>205</v>
      </c>
      <c r="C20" s="120">
        <v>9.6300000000000008</v>
      </c>
    </row>
    <row r="21" spans="1:3" ht="15.75" x14ac:dyDescent="0.25">
      <c r="A21" s="93">
        <v>2341</v>
      </c>
      <c r="B21" s="94" t="s">
        <v>194</v>
      </c>
      <c r="C21" s="120">
        <v>0.19</v>
      </c>
    </row>
    <row r="22" spans="1:3" ht="15.75" x14ac:dyDescent="0.25">
      <c r="A22" s="113"/>
      <c r="B22" s="118" t="s">
        <v>50</v>
      </c>
      <c r="C22" s="119">
        <f>SUM(C20:C21)</f>
        <v>9.82</v>
      </c>
    </row>
    <row r="23" spans="1:3" ht="15.75" x14ac:dyDescent="0.25">
      <c r="A23" s="123"/>
      <c r="B23" s="123" t="s">
        <v>51</v>
      </c>
      <c r="C23" s="120"/>
    </row>
    <row r="24" spans="1:3" ht="94.5" x14ac:dyDescent="0.25">
      <c r="A24" s="93">
        <v>1100</v>
      </c>
      <c r="B24" s="94" t="s">
        <v>200</v>
      </c>
      <c r="C24" s="119">
        <f>ROUND((12.97*0.083),2)</f>
        <v>1.08</v>
      </c>
    </row>
    <row r="25" spans="1:3" ht="15.75" x14ac:dyDescent="0.25">
      <c r="A25" s="113"/>
      <c r="B25" s="118" t="s">
        <v>55</v>
      </c>
      <c r="C25" s="120">
        <f>C24</f>
        <v>1.08</v>
      </c>
    </row>
    <row r="26" spans="1:3" ht="15.75" x14ac:dyDescent="0.25">
      <c r="A26" s="113"/>
      <c r="B26" s="118" t="s">
        <v>8</v>
      </c>
      <c r="C26" s="119">
        <f>SUM(C17,C22,C25)</f>
        <v>16.840000000000003</v>
      </c>
    </row>
    <row r="27" spans="1:3" ht="15.75" x14ac:dyDescent="0.25">
      <c r="A27" s="113"/>
      <c r="B27" s="112" t="s">
        <v>9</v>
      </c>
      <c r="C27" s="112" t="s">
        <v>4</v>
      </c>
    </row>
    <row r="28" spans="1:3" ht="15.75" x14ac:dyDescent="0.25">
      <c r="A28" s="112">
        <v>1100</v>
      </c>
      <c r="B28" s="124" t="s">
        <v>10</v>
      </c>
      <c r="C28" s="112">
        <v>0.16</v>
      </c>
    </row>
    <row r="29" spans="1:3" ht="15.75" x14ac:dyDescent="0.25">
      <c r="A29" s="125">
        <v>2210</v>
      </c>
      <c r="B29" s="126" t="s">
        <v>11</v>
      </c>
      <c r="C29" s="120">
        <v>0.05</v>
      </c>
    </row>
    <row r="30" spans="1:3" ht="15.75" x14ac:dyDescent="0.25">
      <c r="A30" s="125">
        <v>2220</v>
      </c>
      <c r="B30" s="126" t="s">
        <v>12</v>
      </c>
      <c r="C30" s="112">
        <v>0.21</v>
      </c>
    </row>
    <row r="31" spans="1:3" ht="15.75" x14ac:dyDescent="0.25">
      <c r="A31" s="125">
        <v>2240</v>
      </c>
      <c r="B31" s="126" t="s">
        <v>56</v>
      </c>
      <c r="C31" s="112">
        <v>0.55000000000000004</v>
      </c>
    </row>
    <row r="32" spans="1:3" ht="15.75" x14ac:dyDescent="0.25">
      <c r="A32" s="125">
        <v>2310</v>
      </c>
      <c r="B32" s="126" t="s">
        <v>15</v>
      </c>
      <c r="C32" s="115">
        <v>0.1</v>
      </c>
    </row>
    <row r="33" spans="1:3" ht="15.75" x14ac:dyDescent="0.25">
      <c r="A33" s="120">
        <v>5200</v>
      </c>
      <c r="B33" s="127" t="s">
        <v>201</v>
      </c>
      <c r="C33" s="115">
        <v>0.1</v>
      </c>
    </row>
    <row r="34" spans="1:3" ht="15.75" x14ac:dyDescent="0.25">
      <c r="A34" s="113"/>
      <c r="B34" s="118" t="s">
        <v>17</v>
      </c>
      <c r="C34" s="115">
        <f>SUM(C28:C33)</f>
        <v>1.1700000000000002</v>
      </c>
    </row>
    <row r="35" spans="1:3" ht="15.75" x14ac:dyDescent="0.25">
      <c r="A35" s="112"/>
      <c r="B35" s="128" t="s">
        <v>18</v>
      </c>
      <c r="C35" s="115">
        <f>SUM(C26,C34)</f>
        <v>18.010000000000005</v>
      </c>
    </row>
    <row r="36" spans="1:3" ht="15.75" x14ac:dyDescent="0.25">
      <c r="A36" s="258" t="s">
        <v>19</v>
      </c>
      <c r="B36" s="258"/>
      <c r="C36" s="120">
        <v>1</v>
      </c>
    </row>
    <row r="37" spans="1:3" ht="15.75" x14ac:dyDescent="0.25">
      <c r="A37" s="258" t="s">
        <v>20</v>
      </c>
      <c r="B37" s="258"/>
      <c r="C37" s="119">
        <f>C35</f>
        <v>18.010000000000005</v>
      </c>
    </row>
    <row r="38" spans="1:3" ht="15.75" x14ac:dyDescent="0.25">
      <c r="A38" s="258" t="s">
        <v>21</v>
      </c>
      <c r="B38" s="258"/>
      <c r="C38" s="120">
        <v>445</v>
      </c>
    </row>
    <row r="39" spans="1:3" ht="15.75" x14ac:dyDescent="0.25">
      <c r="A39" s="258" t="s">
        <v>22</v>
      </c>
      <c r="B39" s="258"/>
      <c r="C39" s="119">
        <f>C38*C37</f>
        <v>8014.4500000000025</v>
      </c>
    </row>
  </sheetData>
  <mergeCells count="5">
    <mergeCell ref="B5:C5"/>
    <mergeCell ref="A36:B36"/>
    <mergeCell ref="A37:B37"/>
    <mergeCell ref="A38:B38"/>
    <mergeCell ref="A39:B39"/>
  </mergeCell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4AA6-DA73-4128-87DA-245102FACFFF}">
  <sheetPr>
    <tabColor theme="9" tint="0.79998168889431442"/>
  </sheetPr>
  <dimension ref="A1:C25"/>
  <sheetViews>
    <sheetView zoomScale="70" zoomScaleNormal="70" workbookViewId="0">
      <selection activeCell="C16" sqref="C16"/>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473</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337</v>
      </c>
      <c r="C13" s="36">
        <f>13.46*240</f>
        <v>3230.4</v>
      </c>
    </row>
    <row r="14" spans="1:3" ht="16.5" thickBot="1" x14ac:dyDescent="0.3">
      <c r="A14" s="33">
        <v>1114</v>
      </c>
      <c r="B14" s="145" t="s">
        <v>417</v>
      </c>
      <c r="C14" s="36">
        <f>13.46*32</f>
        <v>430.72</v>
      </c>
    </row>
    <row r="15" spans="1:3" ht="16.5" thickBot="1" x14ac:dyDescent="0.3">
      <c r="A15" s="33"/>
      <c r="B15" s="37"/>
      <c r="C15" s="36"/>
    </row>
    <row r="16" spans="1:3" ht="16.5" thickBot="1" x14ac:dyDescent="0.3">
      <c r="A16" s="33">
        <v>1114</v>
      </c>
      <c r="B16" s="37" t="s">
        <v>282</v>
      </c>
      <c r="C16" s="105">
        <f>SUM(C11:C14)</f>
        <v>3683.38</v>
      </c>
    </row>
    <row r="17" spans="1:3" ht="16.5" thickBot="1" x14ac:dyDescent="0.3">
      <c r="A17" s="33">
        <v>1210</v>
      </c>
      <c r="B17" s="81" t="s">
        <v>283</v>
      </c>
      <c r="C17" s="144">
        <f>ROUND(C16*23.59%,2)</f>
        <v>868.91</v>
      </c>
    </row>
    <row r="18" spans="1:3" ht="16.5" thickBot="1" x14ac:dyDescent="0.3">
      <c r="A18" s="34"/>
      <c r="B18" s="39" t="s">
        <v>8</v>
      </c>
      <c r="C18" s="92">
        <f>C16+C17</f>
        <v>4552.29</v>
      </c>
    </row>
    <row r="19" spans="1:3" ht="16.5" thickBot="1" x14ac:dyDescent="0.3">
      <c r="A19" s="34"/>
      <c r="B19" s="33" t="s">
        <v>9</v>
      </c>
      <c r="C19" s="36" t="s">
        <v>4</v>
      </c>
    </row>
    <row r="20" spans="1:3" ht="16.5" thickBot="1" x14ac:dyDescent="0.3">
      <c r="A20" s="34"/>
      <c r="B20" s="39" t="s">
        <v>17</v>
      </c>
      <c r="C20" s="36">
        <f>ROUND((C18*10%),2)</f>
        <v>455.23</v>
      </c>
    </row>
    <row r="21" spans="1:3" ht="16.5" thickBot="1" x14ac:dyDescent="0.3">
      <c r="A21" s="33"/>
      <c r="B21" s="45" t="s">
        <v>18</v>
      </c>
      <c r="C21" s="36">
        <f>ROUND((SUM(C18,C20)),2)</f>
        <v>5007.5200000000004</v>
      </c>
    </row>
    <row r="22" spans="1:3" ht="16.5" thickBot="1" x14ac:dyDescent="0.3">
      <c r="A22" s="252" t="s">
        <v>19</v>
      </c>
      <c r="B22" s="253"/>
      <c r="C22" s="89">
        <v>1</v>
      </c>
    </row>
    <row r="23" spans="1:3" ht="16.5" thickBot="1" x14ac:dyDescent="0.3">
      <c r="A23" s="252" t="s">
        <v>20</v>
      </c>
      <c r="B23" s="253"/>
      <c r="C23" s="47">
        <f>C21</f>
        <v>5007.5200000000004</v>
      </c>
    </row>
    <row r="24" spans="1:3" ht="16.5" thickBot="1" x14ac:dyDescent="0.3">
      <c r="A24" s="252" t="s">
        <v>21</v>
      </c>
      <c r="B24" s="253"/>
      <c r="C24" s="88">
        <v>1</v>
      </c>
    </row>
    <row r="25" spans="1:3" ht="16.5" thickBot="1" x14ac:dyDescent="0.3">
      <c r="A25" s="252" t="s">
        <v>22</v>
      </c>
      <c r="B25" s="253"/>
      <c r="C25" s="47">
        <f>C24*C23</f>
        <v>5007.5200000000004</v>
      </c>
    </row>
  </sheetData>
  <mergeCells count="4">
    <mergeCell ref="A22:B22"/>
    <mergeCell ref="A23:B23"/>
    <mergeCell ref="A24:B24"/>
    <mergeCell ref="A25:B25"/>
  </mergeCell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DEAF-8D8C-4E3F-93EC-C657709337B1}">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474</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475</v>
      </c>
      <c r="C13" s="36">
        <f>13.46*240</f>
        <v>3230.4</v>
      </c>
    </row>
    <row r="14" spans="1:3" ht="16.5" thickBot="1" x14ac:dyDescent="0.3">
      <c r="A14" s="33">
        <v>1114</v>
      </c>
      <c r="B14" s="145" t="s">
        <v>417</v>
      </c>
      <c r="C14" s="36">
        <f>13.46*32</f>
        <v>430.72</v>
      </c>
    </row>
    <row r="15" spans="1:3" ht="16.5" thickBot="1" x14ac:dyDescent="0.3">
      <c r="A15" s="33"/>
      <c r="B15" s="37"/>
      <c r="C15" s="36"/>
    </row>
    <row r="16" spans="1:3" ht="16.5" thickBot="1" x14ac:dyDescent="0.3">
      <c r="A16" s="33">
        <v>1114</v>
      </c>
      <c r="B16" s="37" t="s">
        <v>282</v>
      </c>
      <c r="C16" s="105">
        <f>SUM(C11:C14)</f>
        <v>3683.38</v>
      </c>
    </row>
    <row r="17" spans="1:3" ht="16.5" thickBot="1" x14ac:dyDescent="0.3">
      <c r="A17" s="33">
        <v>1210</v>
      </c>
      <c r="B17" s="81" t="s">
        <v>283</v>
      </c>
      <c r="C17" s="144">
        <f>ROUND(C16*23.59%,2)</f>
        <v>868.91</v>
      </c>
    </row>
    <row r="18" spans="1:3" ht="16.5" thickBot="1" x14ac:dyDescent="0.3">
      <c r="A18" s="34"/>
      <c r="B18" s="39" t="s">
        <v>8</v>
      </c>
      <c r="C18" s="92">
        <f>C16+C17</f>
        <v>4552.29</v>
      </c>
    </row>
    <row r="19" spans="1:3" ht="16.5" thickBot="1" x14ac:dyDescent="0.3">
      <c r="A19" s="34"/>
      <c r="B19" s="33" t="s">
        <v>9</v>
      </c>
      <c r="C19" s="36" t="s">
        <v>4</v>
      </c>
    </row>
    <row r="20" spans="1:3" ht="16.5" thickBot="1" x14ac:dyDescent="0.3">
      <c r="A20" s="34"/>
      <c r="B20" s="39" t="s">
        <v>17</v>
      </c>
      <c r="C20" s="36">
        <f>ROUND((C18*10%),2)</f>
        <v>455.23</v>
      </c>
    </row>
    <row r="21" spans="1:3" ht="16.5" thickBot="1" x14ac:dyDescent="0.3">
      <c r="A21" s="33"/>
      <c r="B21" s="45" t="s">
        <v>18</v>
      </c>
      <c r="C21" s="36">
        <f>ROUND((SUM(C18,C20)),2)</f>
        <v>5007.5200000000004</v>
      </c>
    </row>
    <row r="22" spans="1:3" ht="16.5" thickBot="1" x14ac:dyDescent="0.3">
      <c r="A22" s="252" t="s">
        <v>19</v>
      </c>
      <c r="B22" s="253"/>
      <c r="C22" s="89">
        <v>1</v>
      </c>
    </row>
    <row r="23" spans="1:3" ht="16.5" thickBot="1" x14ac:dyDescent="0.3">
      <c r="A23" s="252" t="s">
        <v>20</v>
      </c>
      <c r="B23" s="253"/>
      <c r="C23" s="47">
        <f>C21</f>
        <v>5007.5200000000004</v>
      </c>
    </row>
    <row r="24" spans="1:3" ht="16.5" thickBot="1" x14ac:dyDescent="0.3">
      <c r="A24" s="252" t="s">
        <v>21</v>
      </c>
      <c r="B24" s="253"/>
      <c r="C24" s="88">
        <v>1</v>
      </c>
    </row>
    <row r="25" spans="1:3" ht="16.5" thickBot="1" x14ac:dyDescent="0.3">
      <c r="A25" s="252" t="s">
        <v>22</v>
      </c>
      <c r="B25" s="253"/>
      <c r="C25" s="47">
        <f>C24*C23</f>
        <v>5007.5200000000004</v>
      </c>
    </row>
  </sheetData>
  <mergeCells count="4">
    <mergeCell ref="A22:B22"/>
    <mergeCell ref="A23:B23"/>
    <mergeCell ref="A24:B24"/>
    <mergeCell ref="A25:B25"/>
  </mergeCell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51D1-7D58-4046-BADD-DBC5961B34B4}">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476</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444</v>
      </c>
      <c r="C13" s="36">
        <f>13.46*300</f>
        <v>4038.0000000000005</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4437.1400000000003</v>
      </c>
    </row>
    <row r="17" spans="1:3" ht="16.5" thickBot="1" x14ac:dyDescent="0.3">
      <c r="A17" s="33">
        <v>1210</v>
      </c>
      <c r="B17" s="81" t="s">
        <v>283</v>
      </c>
      <c r="C17" s="144">
        <f>ROUND(C16*23.59%,2)</f>
        <v>1046.72</v>
      </c>
    </row>
    <row r="18" spans="1:3" ht="16.5" thickBot="1" x14ac:dyDescent="0.3">
      <c r="A18" s="34"/>
      <c r="B18" s="39" t="s">
        <v>8</v>
      </c>
      <c r="C18" s="92">
        <f>C16+C17</f>
        <v>5483.8600000000006</v>
      </c>
    </row>
    <row r="19" spans="1:3" ht="16.5" thickBot="1" x14ac:dyDescent="0.3">
      <c r="A19" s="34"/>
      <c r="B19" s="33" t="s">
        <v>9</v>
      </c>
      <c r="C19" s="36" t="s">
        <v>4</v>
      </c>
    </row>
    <row r="20" spans="1:3" ht="16.5" thickBot="1" x14ac:dyDescent="0.3">
      <c r="A20" s="34"/>
      <c r="B20" s="39" t="s">
        <v>17</v>
      </c>
      <c r="C20" s="36">
        <f>ROUND((C18*10%),2)</f>
        <v>548.39</v>
      </c>
    </row>
    <row r="21" spans="1:3" ht="16.5" thickBot="1" x14ac:dyDescent="0.3">
      <c r="A21" s="33"/>
      <c r="B21" s="45" t="s">
        <v>18</v>
      </c>
      <c r="C21" s="36">
        <f>ROUND((SUM(C18,C20)),2)</f>
        <v>6032.25</v>
      </c>
    </row>
    <row r="22" spans="1:3" ht="16.5" thickBot="1" x14ac:dyDescent="0.3">
      <c r="A22" s="252" t="s">
        <v>19</v>
      </c>
      <c r="B22" s="253"/>
      <c r="C22" s="89">
        <v>1</v>
      </c>
    </row>
    <row r="23" spans="1:3" ht="16.5" thickBot="1" x14ac:dyDescent="0.3">
      <c r="A23" s="252" t="s">
        <v>20</v>
      </c>
      <c r="B23" s="253"/>
      <c r="C23" s="47">
        <f>C21</f>
        <v>6032.25</v>
      </c>
    </row>
    <row r="24" spans="1:3" ht="16.5" thickBot="1" x14ac:dyDescent="0.3">
      <c r="A24" s="252" t="s">
        <v>21</v>
      </c>
      <c r="B24" s="253"/>
      <c r="C24" s="88">
        <v>1</v>
      </c>
    </row>
    <row r="25" spans="1:3" ht="16.5" thickBot="1" x14ac:dyDescent="0.3">
      <c r="A25" s="252" t="s">
        <v>22</v>
      </c>
      <c r="B25" s="253"/>
      <c r="C25" s="47">
        <f>C24*C23</f>
        <v>6032.25</v>
      </c>
    </row>
  </sheetData>
  <mergeCells count="4">
    <mergeCell ref="A22:B22"/>
    <mergeCell ref="A23:B23"/>
    <mergeCell ref="A24:B24"/>
    <mergeCell ref="A25:B25"/>
  </mergeCell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3902-0F1C-49DF-9DF2-E6A4B6754E9C}">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477</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445</v>
      </c>
      <c r="C13" s="36">
        <f>13.46*300</f>
        <v>4038.0000000000005</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4437.1400000000003</v>
      </c>
    </row>
    <row r="17" spans="1:3" ht="16.5" thickBot="1" x14ac:dyDescent="0.3">
      <c r="A17" s="33">
        <v>1210</v>
      </c>
      <c r="B17" s="81" t="s">
        <v>283</v>
      </c>
      <c r="C17" s="144">
        <f>ROUND(C16*23.59%,2)</f>
        <v>1046.72</v>
      </c>
    </row>
    <row r="18" spans="1:3" ht="16.5" thickBot="1" x14ac:dyDescent="0.3">
      <c r="A18" s="34"/>
      <c r="B18" s="39" t="s">
        <v>8</v>
      </c>
      <c r="C18" s="92">
        <f>C16+C17</f>
        <v>5483.8600000000006</v>
      </c>
    </row>
    <row r="19" spans="1:3" ht="16.5" thickBot="1" x14ac:dyDescent="0.3">
      <c r="A19" s="34"/>
      <c r="B19" s="33" t="s">
        <v>9</v>
      </c>
      <c r="C19" s="36" t="s">
        <v>4</v>
      </c>
    </row>
    <row r="20" spans="1:3" ht="16.5" thickBot="1" x14ac:dyDescent="0.3">
      <c r="A20" s="34"/>
      <c r="B20" s="39" t="s">
        <v>17</v>
      </c>
      <c r="C20" s="36">
        <f>ROUND((C18*10%),2)</f>
        <v>548.39</v>
      </c>
    </row>
    <row r="21" spans="1:3" ht="16.5" thickBot="1" x14ac:dyDescent="0.3">
      <c r="A21" s="33"/>
      <c r="B21" s="45" t="s">
        <v>18</v>
      </c>
      <c r="C21" s="36">
        <f>ROUND((SUM(C18,C20)),2)</f>
        <v>6032.25</v>
      </c>
    </row>
    <row r="22" spans="1:3" ht="16.5" thickBot="1" x14ac:dyDescent="0.3">
      <c r="A22" s="252" t="s">
        <v>19</v>
      </c>
      <c r="B22" s="253"/>
      <c r="C22" s="89">
        <v>1</v>
      </c>
    </row>
    <row r="23" spans="1:3" ht="16.5" thickBot="1" x14ac:dyDescent="0.3">
      <c r="A23" s="252" t="s">
        <v>20</v>
      </c>
      <c r="B23" s="253"/>
      <c r="C23" s="47">
        <f>C21</f>
        <v>6032.25</v>
      </c>
    </row>
    <row r="24" spans="1:3" ht="16.5" thickBot="1" x14ac:dyDescent="0.3">
      <c r="A24" s="252" t="s">
        <v>21</v>
      </c>
      <c r="B24" s="253"/>
      <c r="C24" s="88">
        <v>1</v>
      </c>
    </row>
    <row r="25" spans="1:3" ht="16.5" thickBot="1" x14ac:dyDescent="0.3">
      <c r="A25" s="252" t="s">
        <v>22</v>
      </c>
      <c r="B25" s="253"/>
      <c r="C25" s="47">
        <f>C24*C23</f>
        <v>6032.25</v>
      </c>
    </row>
  </sheetData>
  <mergeCells count="4">
    <mergeCell ref="A22:B22"/>
    <mergeCell ref="A23:B23"/>
    <mergeCell ref="A24:B24"/>
    <mergeCell ref="A25:B25"/>
  </mergeCell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6947B-34BC-4BC8-B34F-B7E380570562}">
  <sheetPr>
    <tabColor theme="9" tint="0.79998168889431442"/>
  </sheetPr>
  <dimension ref="A1:C25"/>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468</v>
      </c>
    </row>
    <row r="3" spans="1:3" ht="15.75" x14ac:dyDescent="0.25">
      <c r="A3" s="31"/>
      <c r="B3" s="49" t="s">
        <v>478</v>
      </c>
    </row>
    <row r="4" spans="1:3" ht="15.75" x14ac:dyDescent="0.25">
      <c r="A4" s="31" t="s">
        <v>71</v>
      </c>
      <c r="B4" s="29" t="s">
        <v>72</v>
      </c>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143" t="s">
        <v>396</v>
      </c>
      <c r="C10" s="33"/>
    </row>
    <row r="11" spans="1:3" ht="63.75" thickBot="1" x14ac:dyDescent="0.3">
      <c r="A11" s="33">
        <v>1114</v>
      </c>
      <c r="B11" s="37" t="s">
        <v>301</v>
      </c>
      <c r="C11" s="36">
        <f>11.13*2</f>
        <v>22.26</v>
      </c>
    </row>
    <row r="12" spans="1:3" ht="16.5" thickBot="1" x14ac:dyDescent="0.3">
      <c r="A12" s="33"/>
      <c r="B12" s="51" t="s">
        <v>356</v>
      </c>
      <c r="C12" s="36"/>
    </row>
    <row r="13" spans="1:3" ht="63.75" thickBot="1" x14ac:dyDescent="0.3">
      <c r="A13" s="33">
        <v>1114</v>
      </c>
      <c r="B13" s="37" t="s">
        <v>466</v>
      </c>
      <c r="C13" s="36">
        <f>13.46*80</f>
        <v>1076.8000000000002</v>
      </c>
    </row>
    <row r="14" spans="1:3" ht="16.5" thickBot="1" x14ac:dyDescent="0.3">
      <c r="A14" s="33">
        <v>1114</v>
      </c>
      <c r="B14" s="145" t="s">
        <v>417</v>
      </c>
      <c r="C14" s="36">
        <f>13.46*28</f>
        <v>376.88</v>
      </c>
    </row>
    <row r="15" spans="1:3" ht="16.5" thickBot="1" x14ac:dyDescent="0.3">
      <c r="A15" s="33"/>
      <c r="B15" s="37"/>
      <c r="C15" s="36"/>
    </row>
    <row r="16" spans="1:3" ht="16.5" thickBot="1" x14ac:dyDescent="0.3">
      <c r="A16" s="33">
        <v>1114</v>
      </c>
      <c r="B16" s="37" t="s">
        <v>282</v>
      </c>
      <c r="C16" s="105">
        <f>SUM(C11:C14)</f>
        <v>1475.94</v>
      </c>
    </row>
    <row r="17" spans="1:3" ht="16.5" thickBot="1" x14ac:dyDescent="0.3">
      <c r="A17" s="33">
        <v>1210</v>
      </c>
      <c r="B17" s="81" t="s">
        <v>283</v>
      </c>
      <c r="C17" s="144">
        <f>ROUND(C16*23.59%,2)</f>
        <v>348.17</v>
      </c>
    </row>
    <row r="18" spans="1:3" ht="16.5" thickBot="1" x14ac:dyDescent="0.3">
      <c r="A18" s="34"/>
      <c r="B18" s="39" t="s">
        <v>8</v>
      </c>
      <c r="C18" s="92">
        <f>C16+C17</f>
        <v>1824.1100000000001</v>
      </c>
    </row>
    <row r="19" spans="1:3" ht="16.5" thickBot="1" x14ac:dyDescent="0.3">
      <c r="A19" s="34"/>
      <c r="B19" s="33" t="s">
        <v>9</v>
      </c>
      <c r="C19" s="36" t="s">
        <v>4</v>
      </c>
    </row>
    <row r="20" spans="1:3" ht="16.5" thickBot="1" x14ac:dyDescent="0.3">
      <c r="A20" s="34"/>
      <c r="B20" s="39" t="s">
        <v>17</v>
      </c>
      <c r="C20" s="36">
        <f>ROUND((C18*10%),2)</f>
        <v>182.41</v>
      </c>
    </row>
    <row r="21" spans="1:3" ht="16.5" thickBot="1" x14ac:dyDescent="0.3">
      <c r="A21" s="33"/>
      <c r="B21" s="45" t="s">
        <v>18</v>
      </c>
      <c r="C21" s="36">
        <f>ROUND((SUM(C18,C20)),2)</f>
        <v>2006.52</v>
      </c>
    </row>
    <row r="22" spans="1:3" ht="16.5" thickBot="1" x14ac:dyDescent="0.3">
      <c r="A22" s="252" t="s">
        <v>19</v>
      </c>
      <c r="B22" s="253"/>
      <c r="C22" s="89">
        <v>1</v>
      </c>
    </row>
    <row r="23" spans="1:3" ht="16.5" thickBot="1" x14ac:dyDescent="0.3">
      <c r="A23" s="252" t="s">
        <v>20</v>
      </c>
      <c r="B23" s="253"/>
      <c r="C23" s="47">
        <f>C21</f>
        <v>2006.52</v>
      </c>
    </row>
    <row r="24" spans="1:3" ht="16.5" thickBot="1" x14ac:dyDescent="0.3">
      <c r="A24" s="252" t="s">
        <v>21</v>
      </c>
      <c r="B24" s="253"/>
      <c r="C24" s="88">
        <v>1</v>
      </c>
    </row>
    <row r="25" spans="1:3" ht="16.5" thickBot="1" x14ac:dyDescent="0.3">
      <c r="A25" s="252" t="s">
        <v>22</v>
      </c>
      <c r="B25" s="253"/>
      <c r="C25" s="47">
        <f>C24*C23</f>
        <v>2006.52</v>
      </c>
    </row>
  </sheetData>
  <mergeCells count="4">
    <mergeCell ref="A22:B22"/>
    <mergeCell ref="A23:B23"/>
    <mergeCell ref="A24:B24"/>
    <mergeCell ref="A25:B25"/>
  </mergeCell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399D-2545-4E4E-A363-12562D8D7446}">
  <sheetPr>
    <tabColor theme="9" tint="0.79998168889431442"/>
  </sheetPr>
  <dimension ref="A1:C35"/>
  <sheetViews>
    <sheetView topLeftCell="A16"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479</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396</v>
      </c>
      <c r="C9" s="33"/>
    </row>
    <row r="10" spans="1:3" ht="63.75" thickBot="1" x14ac:dyDescent="0.3">
      <c r="A10" s="33">
        <v>1114</v>
      </c>
      <c r="B10" s="37" t="s">
        <v>303</v>
      </c>
      <c r="C10" s="36">
        <f>11.13*1</f>
        <v>11.13</v>
      </c>
    </row>
    <row r="11" spans="1:3" ht="63.75" thickBot="1" x14ac:dyDescent="0.3">
      <c r="A11" s="33">
        <v>1114</v>
      </c>
      <c r="B11" s="37" t="s">
        <v>480</v>
      </c>
      <c r="C11" s="36">
        <f>13.46*24</f>
        <v>323.04000000000002</v>
      </c>
    </row>
    <row r="12" spans="1:3" ht="63.75" thickBot="1" x14ac:dyDescent="0.3">
      <c r="A12" s="33">
        <v>1114</v>
      </c>
      <c r="B12" s="37" t="s">
        <v>481</v>
      </c>
      <c r="C12" s="36">
        <f t="shared" ref="C12:C16" si="0">13.46*24</f>
        <v>323.04000000000002</v>
      </c>
    </row>
    <row r="13" spans="1:3" ht="63.75" thickBot="1" x14ac:dyDescent="0.3">
      <c r="A13" s="33">
        <v>1114</v>
      </c>
      <c r="B13" s="37" t="s">
        <v>482</v>
      </c>
      <c r="C13" s="36">
        <f t="shared" si="0"/>
        <v>323.04000000000002</v>
      </c>
    </row>
    <row r="14" spans="1:3" ht="63.75" thickBot="1" x14ac:dyDescent="0.3">
      <c r="A14" s="33">
        <v>1114</v>
      </c>
      <c r="B14" s="37" t="s">
        <v>483</v>
      </c>
      <c r="C14" s="36">
        <f t="shared" si="0"/>
        <v>323.04000000000002</v>
      </c>
    </row>
    <row r="15" spans="1:3" ht="63.75" thickBot="1" x14ac:dyDescent="0.3">
      <c r="A15" s="33">
        <v>1114</v>
      </c>
      <c r="B15" s="37" t="s">
        <v>484</v>
      </c>
      <c r="C15" s="36">
        <f t="shared" si="0"/>
        <v>323.04000000000002</v>
      </c>
    </row>
    <row r="16" spans="1:3" ht="63.75" thickBot="1" x14ac:dyDescent="0.3">
      <c r="A16" s="33">
        <v>1114</v>
      </c>
      <c r="B16" s="37" t="s">
        <v>485</v>
      </c>
      <c r="C16" s="36">
        <f t="shared" si="0"/>
        <v>323.04000000000002</v>
      </c>
    </row>
    <row r="17" spans="1:3" ht="16.5" thickBot="1" x14ac:dyDescent="0.3">
      <c r="A17" s="33"/>
      <c r="B17" s="143" t="s">
        <v>356</v>
      </c>
      <c r="C17" s="36"/>
    </row>
    <row r="18" spans="1:3" ht="63.75" thickBot="1" x14ac:dyDescent="0.3">
      <c r="A18" s="33">
        <v>1114</v>
      </c>
      <c r="B18" s="37" t="s">
        <v>486</v>
      </c>
      <c r="C18" s="36">
        <f>13.46*52</f>
        <v>699.92000000000007</v>
      </c>
    </row>
    <row r="19" spans="1:3" ht="63.75" thickBot="1" x14ac:dyDescent="0.3">
      <c r="A19" s="33">
        <v>1114</v>
      </c>
      <c r="B19" s="37" t="s">
        <v>487</v>
      </c>
      <c r="C19" s="36">
        <f t="shared" ref="C19:C23" si="1">13.46*52</f>
        <v>699.92000000000007</v>
      </c>
    </row>
    <row r="20" spans="1:3" ht="63.75" thickBot="1" x14ac:dyDescent="0.3">
      <c r="A20" s="33">
        <v>1114</v>
      </c>
      <c r="B20" s="37" t="s">
        <v>488</v>
      </c>
      <c r="C20" s="36">
        <f t="shared" si="1"/>
        <v>699.92000000000007</v>
      </c>
    </row>
    <row r="21" spans="1:3" ht="63.75" thickBot="1" x14ac:dyDescent="0.3">
      <c r="A21" s="33">
        <v>1114</v>
      </c>
      <c r="B21" s="37" t="s">
        <v>489</v>
      </c>
      <c r="C21" s="36">
        <f t="shared" si="1"/>
        <v>699.92000000000007</v>
      </c>
    </row>
    <row r="22" spans="1:3" ht="63.75" thickBot="1" x14ac:dyDescent="0.3">
      <c r="A22" s="33">
        <v>1114</v>
      </c>
      <c r="B22" s="37" t="s">
        <v>490</v>
      </c>
      <c r="C22" s="36">
        <f t="shared" si="1"/>
        <v>699.92000000000007</v>
      </c>
    </row>
    <row r="23" spans="1:3" ht="63.75" thickBot="1" x14ac:dyDescent="0.3">
      <c r="A23" s="33">
        <v>1114</v>
      </c>
      <c r="B23" s="37" t="s">
        <v>491</v>
      </c>
      <c r="C23" s="36">
        <f t="shared" si="1"/>
        <v>699.92000000000007</v>
      </c>
    </row>
    <row r="24" spans="1:3" ht="63.75" thickBot="1" x14ac:dyDescent="0.3">
      <c r="A24" s="33">
        <v>1114</v>
      </c>
      <c r="B24" s="37" t="s">
        <v>492</v>
      </c>
      <c r="C24" s="36">
        <f>16.8*16</f>
        <v>268.8</v>
      </c>
    </row>
    <row r="25" spans="1:3" ht="16.5" thickBot="1" x14ac:dyDescent="0.3">
      <c r="A25" s="33"/>
      <c r="B25" s="37"/>
      <c r="C25" s="36"/>
    </row>
    <row r="26" spans="1:3" ht="16.5" thickBot="1" x14ac:dyDescent="0.3">
      <c r="A26" s="33">
        <v>1114</v>
      </c>
      <c r="B26" s="37" t="s">
        <v>282</v>
      </c>
      <c r="C26" s="105">
        <f>SUM(C10:C24)</f>
        <v>6417.6900000000005</v>
      </c>
    </row>
    <row r="27" spans="1:3" ht="16.5" thickBot="1" x14ac:dyDescent="0.3">
      <c r="A27" s="33">
        <v>1210</v>
      </c>
      <c r="B27" s="81" t="s">
        <v>283</v>
      </c>
      <c r="C27" s="144">
        <f>ROUND(C26*23.59%,2)</f>
        <v>1513.93</v>
      </c>
    </row>
    <row r="28" spans="1:3" ht="16.5" thickBot="1" x14ac:dyDescent="0.3">
      <c r="A28" s="34"/>
      <c r="B28" s="39" t="s">
        <v>8</v>
      </c>
      <c r="C28" s="92">
        <f>C26+C27</f>
        <v>7931.6200000000008</v>
      </c>
    </row>
    <row r="29" spans="1:3" ht="16.5" thickBot="1" x14ac:dyDescent="0.3">
      <c r="A29" s="34"/>
      <c r="B29" s="33" t="s">
        <v>9</v>
      </c>
      <c r="C29" s="36" t="s">
        <v>4</v>
      </c>
    </row>
    <row r="30" spans="1:3" ht="16.5" thickBot="1" x14ac:dyDescent="0.3">
      <c r="A30" s="34"/>
      <c r="B30" s="39" t="s">
        <v>17</v>
      </c>
      <c r="C30" s="36">
        <f>ROUND((C28*10%),2)</f>
        <v>793.16</v>
      </c>
    </row>
    <row r="31" spans="1:3" ht="16.5" thickBot="1" x14ac:dyDescent="0.3">
      <c r="A31" s="33"/>
      <c r="B31" s="45" t="s">
        <v>18</v>
      </c>
      <c r="C31" s="36">
        <f>ROUND((SUM(C28,C30)),2)</f>
        <v>8724.7800000000007</v>
      </c>
    </row>
    <row r="32" spans="1:3" ht="16.5" thickBot="1" x14ac:dyDescent="0.3">
      <c r="A32" s="252" t="s">
        <v>19</v>
      </c>
      <c r="B32" s="253"/>
      <c r="C32" s="89">
        <v>1</v>
      </c>
    </row>
    <row r="33" spans="1:3" ht="16.5" thickBot="1" x14ac:dyDescent="0.3">
      <c r="A33" s="252" t="s">
        <v>20</v>
      </c>
      <c r="B33" s="253"/>
      <c r="C33" s="47">
        <f>C31</f>
        <v>8724.7800000000007</v>
      </c>
    </row>
    <row r="34" spans="1:3" ht="16.5" thickBot="1" x14ac:dyDescent="0.3">
      <c r="A34" s="252" t="s">
        <v>21</v>
      </c>
      <c r="B34" s="253"/>
      <c r="C34" s="88">
        <v>1</v>
      </c>
    </row>
    <row r="35" spans="1:3" ht="16.5" thickBot="1" x14ac:dyDescent="0.3">
      <c r="A35" s="252" t="s">
        <v>22</v>
      </c>
      <c r="B35" s="253"/>
      <c r="C35" s="47">
        <f>C34*C33</f>
        <v>8724.7800000000007</v>
      </c>
    </row>
  </sheetData>
  <mergeCells count="4">
    <mergeCell ref="A32:B32"/>
    <mergeCell ref="A33:B33"/>
    <mergeCell ref="A34:B34"/>
    <mergeCell ref="A35:B35"/>
  </mergeCell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58FA-D9A0-4253-834E-2D78FCEF5AE8}">
  <sheetPr>
    <tabColor theme="9" tint="0.79998168889431442"/>
  </sheetPr>
  <dimension ref="A1:C35"/>
  <sheetViews>
    <sheetView topLeftCell="A18" zoomScale="70" zoomScaleNormal="70" workbookViewId="0">
      <selection activeCell="B2" sqref="B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row>
    <row r="2" spans="1:3" ht="31.5" x14ac:dyDescent="0.25">
      <c r="A2" s="31" t="s">
        <v>68</v>
      </c>
      <c r="B2" s="49" t="s">
        <v>493</v>
      </c>
    </row>
    <row r="3" spans="1:3" ht="15.75" x14ac:dyDescent="0.25">
      <c r="A3" s="31" t="s">
        <v>71</v>
      </c>
      <c r="B3" s="29" t="s">
        <v>72</v>
      </c>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143" t="s">
        <v>396</v>
      </c>
      <c r="C9" s="33"/>
    </row>
    <row r="10" spans="1:3" ht="63.75" thickBot="1" x14ac:dyDescent="0.3">
      <c r="A10" s="33">
        <v>1114</v>
      </c>
      <c r="B10" s="37" t="s">
        <v>303</v>
      </c>
      <c r="C10" s="36">
        <f>11.13*1</f>
        <v>11.13</v>
      </c>
    </row>
    <row r="11" spans="1:3" ht="63.75" thickBot="1" x14ac:dyDescent="0.3">
      <c r="A11" s="33">
        <v>1114</v>
      </c>
      <c r="B11" s="37" t="s">
        <v>494</v>
      </c>
      <c r="C11" s="36">
        <f>13.46*2</f>
        <v>26.92</v>
      </c>
    </row>
    <row r="12" spans="1:3" ht="63.75" thickBot="1" x14ac:dyDescent="0.3">
      <c r="A12" s="33">
        <v>1114</v>
      </c>
      <c r="B12" s="37" t="s">
        <v>495</v>
      </c>
      <c r="C12" s="36">
        <f t="shared" ref="C12:C16" si="0">13.46*2</f>
        <v>26.92</v>
      </c>
    </row>
    <row r="13" spans="1:3" ht="63.75" thickBot="1" x14ac:dyDescent="0.3">
      <c r="A13" s="33">
        <v>1114</v>
      </c>
      <c r="B13" s="37" t="s">
        <v>496</v>
      </c>
      <c r="C13" s="36">
        <f t="shared" si="0"/>
        <v>26.92</v>
      </c>
    </row>
    <row r="14" spans="1:3" ht="63.75" thickBot="1" x14ac:dyDescent="0.3">
      <c r="A14" s="33">
        <v>1114</v>
      </c>
      <c r="B14" s="37" t="s">
        <v>497</v>
      </c>
      <c r="C14" s="36">
        <f t="shared" si="0"/>
        <v>26.92</v>
      </c>
    </row>
    <row r="15" spans="1:3" ht="63.75" thickBot="1" x14ac:dyDescent="0.3">
      <c r="A15" s="33">
        <v>1114</v>
      </c>
      <c r="B15" s="37" t="s">
        <v>498</v>
      </c>
      <c r="C15" s="36">
        <f t="shared" si="0"/>
        <v>26.92</v>
      </c>
    </row>
    <row r="16" spans="1:3" ht="63.75" thickBot="1" x14ac:dyDescent="0.3">
      <c r="A16" s="33">
        <v>1114</v>
      </c>
      <c r="B16" s="37" t="s">
        <v>499</v>
      </c>
      <c r="C16" s="36">
        <f t="shared" si="0"/>
        <v>26.92</v>
      </c>
    </row>
    <row r="17" spans="1:3" ht="16.5" thickBot="1" x14ac:dyDescent="0.3">
      <c r="A17" s="33"/>
      <c r="B17" s="143" t="s">
        <v>356</v>
      </c>
      <c r="C17" s="36"/>
    </row>
    <row r="18" spans="1:3" ht="63.75" thickBot="1" x14ac:dyDescent="0.3">
      <c r="A18" s="33">
        <v>1114</v>
      </c>
      <c r="B18" s="37" t="s">
        <v>500</v>
      </c>
      <c r="C18" s="36">
        <f>13.46*15</f>
        <v>201.9</v>
      </c>
    </row>
    <row r="19" spans="1:3" ht="63.75" thickBot="1" x14ac:dyDescent="0.3">
      <c r="A19" s="33">
        <v>1114</v>
      </c>
      <c r="B19" s="37" t="s">
        <v>501</v>
      </c>
      <c r="C19" s="36">
        <f t="shared" ref="C19:C23" si="1">13.46*15</f>
        <v>201.9</v>
      </c>
    </row>
    <row r="20" spans="1:3" ht="63.75" thickBot="1" x14ac:dyDescent="0.3">
      <c r="A20" s="33">
        <v>1114</v>
      </c>
      <c r="B20" s="37" t="s">
        <v>502</v>
      </c>
      <c r="C20" s="36">
        <f t="shared" si="1"/>
        <v>201.9</v>
      </c>
    </row>
    <row r="21" spans="1:3" ht="63.75" thickBot="1" x14ac:dyDescent="0.3">
      <c r="A21" s="33">
        <v>1114</v>
      </c>
      <c r="B21" s="37" t="s">
        <v>503</v>
      </c>
      <c r="C21" s="36">
        <f t="shared" si="1"/>
        <v>201.9</v>
      </c>
    </row>
    <row r="22" spans="1:3" ht="63.75" thickBot="1" x14ac:dyDescent="0.3">
      <c r="A22" s="33">
        <v>1114</v>
      </c>
      <c r="B22" s="37" t="s">
        <v>504</v>
      </c>
      <c r="C22" s="36">
        <f t="shared" si="1"/>
        <v>201.9</v>
      </c>
    </row>
    <row r="23" spans="1:3" ht="63.75" thickBot="1" x14ac:dyDescent="0.3">
      <c r="A23" s="33">
        <v>1114</v>
      </c>
      <c r="B23" s="37" t="s">
        <v>505</v>
      </c>
      <c r="C23" s="36">
        <f t="shared" si="1"/>
        <v>201.9</v>
      </c>
    </row>
    <row r="24" spans="1:3" ht="63.75" thickBot="1" x14ac:dyDescent="0.3">
      <c r="A24" s="33">
        <v>1114</v>
      </c>
      <c r="B24" s="37" t="s">
        <v>506</v>
      </c>
      <c r="C24" s="36">
        <f>16.8*6</f>
        <v>100.80000000000001</v>
      </c>
    </row>
    <row r="25" spans="1:3" ht="16.5" thickBot="1" x14ac:dyDescent="0.3">
      <c r="A25" s="33"/>
      <c r="B25" s="37"/>
      <c r="C25" s="36"/>
    </row>
    <row r="26" spans="1:3" ht="16.5" thickBot="1" x14ac:dyDescent="0.3">
      <c r="A26" s="33">
        <v>1114</v>
      </c>
      <c r="B26" s="37" t="s">
        <v>282</v>
      </c>
      <c r="C26" s="105">
        <f>SUM(C10:C24)</f>
        <v>1484.8500000000001</v>
      </c>
    </row>
    <row r="27" spans="1:3" ht="16.5" thickBot="1" x14ac:dyDescent="0.3">
      <c r="A27" s="33">
        <v>1210</v>
      </c>
      <c r="B27" s="81" t="s">
        <v>283</v>
      </c>
      <c r="C27" s="144">
        <f>ROUND(C26*23.59%,2)</f>
        <v>350.28</v>
      </c>
    </row>
    <row r="28" spans="1:3" ht="16.5" thickBot="1" x14ac:dyDescent="0.3">
      <c r="A28" s="34"/>
      <c r="B28" s="39" t="s">
        <v>8</v>
      </c>
      <c r="C28" s="92">
        <f>C26+C27</f>
        <v>1835.13</v>
      </c>
    </row>
    <row r="29" spans="1:3" ht="16.5" thickBot="1" x14ac:dyDescent="0.3">
      <c r="A29" s="34"/>
      <c r="B29" s="33" t="s">
        <v>9</v>
      </c>
      <c r="C29" s="36" t="s">
        <v>4</v>
      </c>
    </row>
    <row r="30" spans="1:3" ht="16.5" thickBot="1" x14ac:dyDescent="0.3">
      <c r="A30" s="34"/>
      <c r="B30" s="39" t="s">
        <v>17</v>
      </c>
      <c r="C30" s="36">
        <f>ROUND((C28*10%),2)</f>
        <v>183.51</v>
      </c>
    </row>
    <row r="31" spans="1:3" ht="16.5" thickBot="1" x14ac:dyDescent="0.3">
      <c r="A31" s="33"/>
      <c r="B31" s="45" t="s">
        <v>18</v>
      </c>
      <c r="C31" s="36">
        <f>ROUND((SUM(C28,C30)),2)</f>
        <v>2018.64</v>
      </c>
    </row>
    <row r="32" spans="1:3" ht="16.5" thickBot="1" x14ac:dyDescent="0.3">
      <c r="A32" s="252" t="s">
        <v>19</v>
      </c>
      <c r="B32" s="253"/>
      <c r="C32" s="89">
        <v>1</v>
      </c>
    </row>
    <row r="33" spans="1:3" ht="16.5" thickBot="1" x14ac:dyDescent="0.3">
      <c r="A33" s="252" t="s">
        <v>20</v>
      </c>
      <c r="B33" s="253"/>
      <c r="C33" s="47">
        <f>C31</f>
        <v>2018.64</v>
      </c>
    </row>
    <row r="34" spans="1:3" ht="16.5" thickBot="1" x14ac:dyDescent="0.3">
      <c r="A34" s="252" t="s">
        <v>21</v>
      </c>
      <c r="B34" s="253"/>
      <c r="C34" s="88">
        <v>1</v>
      </c>
    </row>
    <row r="35" spans="1:3" ht="16.5" thickBot="1" x14ac:dyDescent="0.3">
      <c r="A35" s="252" t="s">
        <v>22</v>
      </c>
      <c r="B35" s="253"/>
      <c r="C35" s="47">
        <f>C34*C33</f>
        <v>2018.64</v>
      </c>
    </row>
  </sheetData>
  <mergeCells count="4">
    <mergeCell ref="A32:B32"/>
    <mergeCell ref="A33:B33"/>
    <mergeCell ref="A34:B34"/>
    <mergeCell ref="A35:B35"/>
  </mergeCells>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F03F-DE6C-466F-97FF-A048CC485DCC}">
  <sheetPr>
    <tabColor theme="9" tint="0.79998168889431442"/>
  </sheetPr>
  <dimension ref="A1:C20"/>
  <sheetViews>
    <sheetView zoomScale="85" zoomScaleNormal="85" workbookViewId="0">
      <selection activeCell="C23" sqref="C23"/>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507</v>
      </c>
      <c r="C2" s="252"/>
    </row>
    <row r="3" spans="1:3" ht="15.75" x14ac:dyDescent="0.25">
      <c r="A3" s="31" t="s">
        <v>71</v>
      </c>
      <c r="B3" s="29" t="s">
        <v>187</v>
      </c>
      <c r="C3" s="30"/>
    </row>
    <row r="4" spans="1:3" ht="15.75" x14ac:dyDescent="0.25">
      <c r="A4" s="31"/>
      <c r="B4" s="29"/>
      <c r="C4" s="30"/>
    </row>
    <row r="5" spans="1:3" ht="16.5" thickBot="1" x14ac:dyDescent="0.3">
      <c r="A5" s="31"/>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8">
        <v>2310</v>
      </c>
      <c r="B9" s="59" t="s">
        <v>508</v>
      </c>
      <c r="C9" s="36">
        <v>0.15</v>
      </c>
    </row>
    <row r="10" spans="1:3" ht="16.5" thickBot="1" x14ac:dyDescent="0.3">
      <c r="A10" s="34"/>
      <c r="B10" s="33" t="s">
        <v>9</v>
      </c>
      <c r="C10" s="36" t="s">
        <v>4</v>
      </c>
    </row>
    <row r="11" spans="1:3" ht="16.5" thickBot="1" x14ac:dyDescent="0.3">
      <c r="A11" s="140">
        <v>2220</v>
      </c>
      <c r="B11" s="141" t="s">
        <v>12</v>
      </c>
      <c r="C11" s="146">
        <v>5.0000000000000001E-3</v>
      </c>
    </row>
    <row r="12" spans="1:3" ht="16.5" thickBot="1" x14ac:dyDescent="0.3">
      <c r="A12" s="140">
        <v>2243</v>
      </c>
      <c r="B12" s="141" t="s">
        <v>13</v>
      </c>
      <c r="C12" s="146">
        <v>5.0000000000000001E-3</v>
      </c>
    </row>
    <row r="13" spans="1:3" ht="16.5" customHeight="1" thickBot="1" x14ac:dyDescent="0.3">
      <c r="A13" s="140">
        <v>2310</v>
      </c>
      <c r="B13" s="141" t="s">
        <v>15</v>
      </c>
      <c r="C13" s="146">
        <v>5.0000000000000001E-3</v>
      </c>
    </row>
    <row r="14" spans="1:3" ht="16.5" customHeight="1" thickBot="1" x14ac:dyDescent="0.3">
      <c r="A14" s="43">
        <v>5200</v>
      </c>
      <c r="B14" s="142" t="s">
        <v>201</v>
      </c>
      <c r="C14" s="146">
        <v>5.0000000000000001E-3</v>
      </c>
    </row>
    <row r="15" spans="1:3" ht="16.5" customHeight="1" thickBot="1" x14ac:dyDescent="0.3">
      <c r="A15" s="34"/>
      <c r="B15" s="39" t="s">
        <v>17</v>
      </c>
      <c r="C15" s="36">
        <f>ROUND(SUM(C11:C14),2)</f>
        <v>0.02</v>
      </c>
    </row>
    <row r="16" spans="1:3" ht="16.5" customHeight="1" thickBot="1" x14ac:dyDescent="0.3">
      <c r="A16" s="33"/>
      <c r="B16" s="45" t="s">
        <v>18</v>
      </c>
      <c r="C16" s="36">
        <v>0.17</v>
      </c>
    </row>
    <row r="17" spans="1:3" ht="16.5" thickBot="1" x14ac:dyDescent="0.3">
      <c r="A17" s="264" t="s">
        <v>19</v>
      </c>
      <c r="B17" s="265"/>
      <c r="C17" s="48">
        <v>1</v>
      </c>
    </row>
    <row r="18" spans="1:3" ht="16.5" thickBot="1" x14ac:dyDescent="0.3">
      <c r="A18" s="252" t="s">
        <v>20</v>
      </c>
      <c r="B18" s="253"/>
      <c r="C18" s="47">
        <f>C16</f>
        <v>0.17</v>
      </c>
    </row>
    <row r="19" spans="1:3" ht="16.5" thickBot="1" x14ac:dyDescent="0.3">
      <c r="A19" s="252" t="s">
        <v>21</v>
      </c>
      <c r="B19" s="253"/>
      <c r="C19" s="46">
        <v>10</v>
      </c>
    </row>
    <row r="20" spans="1:3" ht="16.5" thickBot="1" x14ac:dyDescent="0.3">
      <c r="A20" s="252" t="s">
        <v>22</v>
      </c>
      <c r="B20" s="253"/>
      <c r="C20" s="47">
        <f>C19*C18</f>
        <v>1.7000000000000002</v>
      </c>
    </row>
  </sheetData>
  <mergeCells count="5">
    <mergeCell ref="B2:C2"/>
    <mergeCell ref="A17:B17"/>
    <mergeCell ref="A18:B18"/>
    <mergeCell ref="A19:B19"/>
    <mergeCell ref="A20:B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ECC7-E6C2-4921-9904-D895F852154E}">
  <sheetPr>
    <tabColor theme="9" tint="0.79998168889431442"/>
  </sheetPr>
  <dimension ref="A1:C36"/>
  <sheetViews>
    <sheetView zoomScale="70" zoomScaleNormal="70" workbookViewId="0">
      <selection activeCell="B25" sqref="B25"/>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207</v>
      </c>
      <c r="C2" s="252"/>
    </row>
    <row r="3" spans="1:3" ht="15.75" x14ac:dyDescent="0.25">
      <c r="A3" s="31"/>
      <c r="B3" s="32" t="s">
        <v>225</v>
      </c>
      <c r="C3" s="32"/>
    </row>
    <row r="4" spans="1:3" ht="15.75" x14ac:dyDescent="0.25">
      <c r="A4" s="31" t="s">
        <v>71</v>
      </c>
      <c r="B4" s="32" t="s">
        <v>203</v>
      </c>
      <c r="C4" s="32"/>
    </row>
    <row r="5" spans="1:3" ht="15.75" x14ac:dyDescent="0.25">
      <c r="A5" s="29"/>
      <c r="B5" s="29"/>
      <c r="C5" s="30"/>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112" t="s">
        <v>188</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29">
        <v>2239</v>
      </c>
      <c r="B13" s="117" t="s">
        <v>191</v>
      </c>
      <c r="C13" s="112">
        <v>0.23</v>
      </c>
    </row>
    <row r="14" spans="1:3" ht="15.75" x14ac:dyDescent="0.25">
      <c r="A14" s="113"/>
      <c r="B14" s="118" t="s">
        <v>39</v>
      </c>
      <c r="C14" s="119">
        <f>SUM(C11:C13)</f>
        <v>5.7100000000000009</v>
      </c>
    </row>
    <row r="15" spans="1:3" ht="15.75" x14ac:dyDescent="0.25">
      <c r="A15" s="113"/>
      <c r="B15" s="94" t="s">
        <v>40</v>
      </c>
      <c r="C15" s="120"/>
    </row>
    <row r="16" spans="1:3" ht="15.75" x14ac:dyDescent="0.25">
      <c r="A16" s="113"/>
      <c r="B16" s="121" t="s">
        <v>226</v>
      </c>
      <c r="C16" s="120"/>
    </row>
    <row r="17" spans="1:3" ht="94.5" x14ac:dyDescent="0.25">
      <c r="A17" s="93">
        <v>1100</v>
      </c>
      <c r="B17" s="94" t="s">
        <v>227</v>
      </c>
      <c r="C17" s="119">
        <f>ROUND((9.63*1.5),2)</f>
        <v>14.45</v>
      </c>
    </row>
    <row r="18" spans="1:3" ht="15.75" x14ac:dyDescent="0.25">
      <c r="A18" s="93">
        <v>2341</v>
      </c>
      <c r="B18" s="94" t="s">
        <v>221</v>
      </c>
      <c r="C18" s="119">
        <v>0.19</v>
      </c>
    </row>
    <row r="19" spans="1:3" ht="15.75" x14ac:dyDescent="0.25">
      <c r="A19" s="113"/>
      <c r="B19" s="118" t="s">
        <v>50</v>
      </c>
      <c r="C19" s="119">
        <f>SUM(C17:C18)</f>
        <v>14.639999999999999</v>
      </c>
    </row>
    <row r="20" spans="1:3" ht="15.75" x14ac:dyDescent="0.25">
      <c r="A20" s="123"/>
      <c r="B20" s="123" t="s">
        <v>51</v>
      </c>
      <c r="C20" s="120"/>
    </row>
    <row r="21" spans="1:3" ht="94.5" x14ac:dyDescent="0.25">
      <c r="A21" s="93">
        <v>1100</v>
      </c>
      <c r="B21" s="94" t="s">
        <v>200</v>
      </c>
      <c r="C21" s="119">
        <f>ROUND((12.97*0.083),2)</f>
        <v>1.08</v>
      </c>
    </row>
    <row r="22" spans="1:3" ht="15.75" x14ac:dyDescent="0.25">
      <c r="A22" s="113"/>
      <c r="B22" s="118" t="s">
        <v>55</v>
      </c>
      <c r="C22" s="120">
        <f>C21</f>
        <v>1.08</v>
      </c>
    </row>
    <row r="23" spans="1:3" ht="15.75" x14ac:dyDescent="0.25">
      <c r="A23" s="113"/>
      <c r="B23" s="118" t="s">
        <v>8</v>
      </c>
      <c r="C23" s="119">
        <f>SUM(C14,C19,C22)</f>
        <v>21.43</v>
      </c>
    </row>
    <row r="24" spans="1:3" ht="15.75" x14ac:dyDescent="0.25">
      <c r="A24" s="113"/>
      <c r="B24" s="112" t="s">
        <v>9</v>
      </c>
      <c r="C24" s="112" t="s">
        <v>4</v>
      </c>
    </row>
    <row r="25" spans="1:3" ht="15.75" x14ac:dyDescent="0.25">
      <c r="A25" s="112">
        <v>1100</v>
      </c>
      <c r="B25" s="124" t="s">
        <v>10</v>
      </c>
      <c r="C25" s="112">
        <v>0.21</v>
      </c>
    </row>
    <row r="26" spans="1:3" ht="15.75" x14ac:dyDescent="0.25">
      <c r="A26" s="125">
        <v>2210</v>
      </c>
      <c r="B26" s="126" t="s">
        <v>11</v>
      </c>
      <c r="C26" s="120">
        <v>7.0000000000000007E-2</v>
      </c>
    </row>
    <row r="27" spans="1:3" ht="15.75" x14ac:dyDescent="0.25">
      <c r="A27" s="125">
        <v>2220</v>
      </c>
      <c r="B27" s="126" t="s">
        <v>12</v>
      </c>
      <c r="C27" s="112">
        <v>0.26</v>
      </c>
    </row>
    <row r="28" spans="1:3" ht="15.75" x14ac:dyDescent="0.25">
      <c r="A28" s="125">
        <v>2240</v>
      </c>
      <c r="B28" s="126" t="s">
        <v>56</v>
      </c>
      <c r="C28" s="112">
        <v>0.7</v>
      </c>
    </row>
    <row r="29" spans="1:3" ht="15.75" x14ac:dyDescent="0.25">
      <c r="A29" s="125">
        <v>2310</v>
      </c>
      <c r="B29" s="126" t="s">
        <v>15</v>
      </c>
      <c r="C29" s="115">
        <v>0.13</v>
      </c>
    </row>
    <row r="30" spans="1:3" ht="15.75" x14ac:dyDescent="0.25">
      <c r="A30" s="120">
        <v>5200</v>
      </c>
      <c r="B30" s="127" t="s">
        <v>201</v>
      </c>
      <c r="C30" s="115">
        <v>0.13</v>
      </c>
    </row>
    <row r="31" spans="1:3" ht="15.75" x14ac:dyDescent="0.25">
      <c r="A31" s="113"/>
      <c r="B31" s="118" t="s">
        <v>17</v>
      </c>
      <c r="C31" s="115">
        <f>SUM(C25:C30)</f>
        <v>1.5</v>
      </c>
    </row>
    <row r="32" spans="1:3" ht="15.75" x14ac:dyDescent="0.25">
      <c r="A32" s="112"/>
      <c r="B32" s="128" t="s">
        <v>18</v>
      </c>
      <c r="C32" s="115">
        <f>SUM(C23,C31)</f>
        <v>22.93</v>
      </c>
    </row>
    <row r="33" spans="1:3" ht="15.75" x14ac:dyDescent="0.25">
      <c r="A33" s="258" t="s">
        <v>19</v>
      </c>
      <c r="B33" s="258"/>
      <c r="C33" s="120">
        <v>1</v>
      </c>
    </row>
    <row r="34" spans="1:3" ht="15.75" x14ac:dyDescent="0.25">
      <c r="A34" s="258" t="s">
        <v>20</v>
      </c>
      <c r="B34" s="258"/>
      <c r="C34" s="119">
        <f>C32</f>
        <v>22.93</v>
      </c>
    </row>
    <row r="35" spans="1:3" ht="15.75" x14ac:dyDescent="0.25">
      <c r="A35" s="258" t="s">
        <v>21</v>
      </c>
      <c r="B35" s="258"/>
      <c r="C35" s="120">
        <v>99</v>
      </c>
    </row>
    <row r="36" spans="1:3" ht="15.75" x14ac:dyDescent="0.25">
      <c r="A36" s="258" t="s">
        <v>22</v>
      </c>
      <c r="B36" s="258"/>
      <c r="C36" s="119">
        <f>C35*C34</f>
        <v>2270.0700000000002</v>
      </c>
    </row>
  </sheetData>
  <mergeCells count="5">
    <mergeCell ref="B2:C2"/>
    <mergeCell ref="A33:B33"/>
    <mergeCell ref="A34:B34"/>
    <mergeCell ref="A35:B35"/>
    <mergeCell ref="A36:B3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C1D6-6FFB-44AE-B161-1DC1E6F4687F}">
  <sheetPr>
    <tabColor theme="9" tint="0.79998168889431442"/>
  </sheetPr>
  <dimension ref="A1:C36"/>
  <sheetViews>
    <sheetView zoomScale="85" zoomScaleNormal="85" workbookViewId="0">
      <selection activeCell="B4" sqref="B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207</v>
      </c>
      <c r="C2" s="252"/>
    </row>
    <row r="3" spans="1:3" ht="15.75" x14ac:dyDescent="0.25">
      <c r="A3" s="31"/>
      <c r="B3" s="32" t="s">
        <v>224</v>
      </c>
      <c r="C3" s="32"/>
    </row>
    <row r="4" spans="1:3" ht="15.75" x14ac:dyDescent="0.25">
      <c r="A4" s="31" t="s">
        <v>71</v>
      </c>
      <c r="B4" s="32" t="s">
        <v>203</v>
      </c>
      <c r="C4" s="32"/>
    </row>
    <row r="5" spans="1:3" ht="15.75" x14ac:dyDescent="0.25">
      <c r="A5" s="29"/>
      <c r="B5" s="29"/>
      <c r="C5" s="30"/>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112" t="s">
        <v>188</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29">
        <v>2239</v>
      </c>
      <c r="B13" s="117" t="s">
        <v>191</v>
      </c>
      <c r="C13" s="112">
        <v>0.23</v>
      </c>
    </row>
    <row r="14" spans="1:3" ht="15.75" x14ac:dyDescent="0.25">
      <c r="A14" s="113"/>
      <c r="B14" s="118" t="s">
        <v>39</v>
      </c>
      <c r="C14" s="119">
        <f>SUM(C11:C13)</f>
        <v>5.7100000000000009</v>
      </c>
    </row>
    <row r="15" spans="1:3" ht="15.75" x14ac:dyDescent="0.25">
      <c r="A15" s="113"/>
      <c r="B15" s="94" t="s">
        <v>40</v>
      </c>
      <c r="C15" s="120"/>
    </row>
    <row r="16" spans="1:3" ht="15.75" x14ac:dyDescent="0.25">
      <c r="A16" s="113"/>
      <c r="B16" s="121" t="s">
        <v>222</v>
      </c>
      <c r="C16" s="120"/>
    </row>
    <row r="17" spans="1:3" ht="94.5" x14ac:dyDescent="0.25">
      <c r="A17" s="93">
        <v>1100</v>
      </c>
      <c r="B17" s="94" t="s">
        <v>223</v>
      </c>
      <c r="C17" s="119">
        <f>ROUND((9.63*4),2)</f>
        <v>38.520000000000003</v>
      </c>
    </row>
    <row r="18" spans="1:3" ht="15.75" x14ac:dyDescent="0.25">
      <c r="A18" s="93">
        <v>2341</v>
      </c>
      <c r="B18" s="94" t="s">
        <v>221</v>
      </c>
      <c r="C18" s="119">
        <v>0.19</v>
      </c>
    </row>
    <row r="19" spans="1:3" ht="15.75" x14ac:dyDescent="0.25">
      <c r="A19" s="113"/>
      <c r="B19" s="118" t="s">
        <v>50</v>
      </c>
      <c r="C19" s="119">
        <f>SUM(C17:C18)</f>
        <v>38.71</v>
      </c>
    </row>
    <row r="20" spans="1:3" ht="15.75" x14ac:dyDescent="0.25">
      <c r="A20" s="123"/>
      <c r="B20" s="123" t="s">
        <v>51</v>
      </c>
      <c r="C20" s="120"/>
    </row>
    <row r="21" spans="1:3" ht="94.5" x14ac:dyDescent="0.25">
      <c r="A21" s="93">
        <v>1100</v>
      </c>
      <c r="B21" s="94" t="s">
        <v>200</v>
      </c>
      <c r="C21" s="119">
        <f>ROUND((12.97*0.083),2)</f>
        <v>1.08</v>
      </c>
    </row>
    <row r="22" spans="1:3" ht="15.75" x14ac:dyDescent="0.25">
      <c r="A22" s="113"/>
      <c r="B22" s="118" t="s">
        <v>55</v>
      </c>
      <c r="C22" s="120">
        <f>C21</f>
        <v>1.08</v>
      </c>
    </row>
    <row r="23" spans="1:3" ht="15.75" x14ac:dyDescent="0.25">
      <c r="A23" s="113"/>
      <c r="B23" s="118" t="s">
        <v>8</v>
      </c>
      <c r="C23" s="119">
        <f>SUM(C14,C19,C22)</f>
        <v>45.5</v>
      </c>
    </row>
    <row r="24" spans="1:3" ht="15.75" x14ac:dyDescent="0.25">
      <c r="A24" s="113"/>
      <c r="B24" s="112" t="s">
        <v>9</v>
      </c>
      <c r="C24" s="112" t="s">
        <v>4</v>
      </c>
    </row>
    <row r="25" spans="1:3" ht="15.75" x14ac:dyDescent="0.25">
      <c r="A25" s="112">
        <v>1100</v>
      </c>
      <c r="B25" s="124" t="s">
        <v>10</v>
      </c>
      <c r="C25" s="112">
        <v>0.44</v>
      </c>
    </row>
    <row r="26" spans="1:3" ht="15.75" x14ac:dyDescent="0.25">
      <c r="A26" s="125">
        <v>2210</v>
      </c>
      <c r="B26" s="126" t="s">
        <v>11</v>
      </c>
      <c r="C26" s="120">
        <v>0.15</v>
      </c>
    </row>
    <row r="27" spans="1:3" ht="15.75" x14ac:dyDescent="0.25">
      <c r="A27" s="125">
        <v>2220</v>
      </c>
      <c r="B27" s="126" t="s">
        <v>12</v>
      </c>
      <c r="C27" s="112">
        <v>0.56000000000000005</v>
      </c>
    </row>
    <row r="28" spans="1:3" ht="15.75" x14ac:dyDescent="0.25">
      <c r="A28" s="125">
        <v>2240</v>
      </c>
      <c r="B28" s="126" t="s">
        <v>56</v>
      </c>
      <c r="C28" s="112">
        <v>1.49</v>
      </c>
    </row>
    <row r="29" spans="1:3" ht="15.75" x14ac:dyDescent="0.25">
      <c r="A29" s="125">
        <v>2310</v>
      </c>
      <c r="B29" s="126" t="s">
        <v>15</v>
      </c>
      <c r="C29" s="115">
        <v>0.28000000000000003</v>
      </c>
    </row>
    <row r="30" spans="1:3" ht="15.75" x14ac:dyDescent="0.25">
      <c r="A30" s="120">
        <v>5200</v>
      </c>
      <c r="B30" s="127" t="s">
        <v>201</v>
      </c>
      <c r="C30" s="115">
        <v>0.28000000000000003</v>
      </c>
    </row>
    <row r="31" spans="1:3" ht="15.75" x14ac:dyDescent="0.25">
      <c r="A31" s="113"/>
      <c r="B31" s="118" t="s">
        <v>17</v>
      </c>
      <c r="C31" s="115">
        <f>SUM(C25:C30)</f>
        <v>3.2</v>
      </c>
    </row>
    <row r="32" spans="1:3" ht="15.75" x14ac:dyDescent="0.25">
      <c r="A32" s="112"/>
      <c r="B32" s="128" t="s">
        <v>18</v>
      </c>
      <c r="C32" s="115">
        <f>SUM(C23,C31)</f>
        <v>48.7</v>
      </c>
    </row>
    <row r="33" spans="1:3" ht="15.75" x14ac:dyDescent="0.25">
      <c r="A33" s="258" t="s">
        <v>19</v>
      </c>
      <c r="B33" s="258"/>
      <c r="C33" s="120">
        <v>1</v>
      </c>
    </row>
    <row r="34" spans="1:3" ht="15.75" x14ac:dyDescent="0.25">
      <c r="A34" s="258" t="s">
        <v>20</v>
      </c>
      <c r="B34" s="258"/>
      <c r="C34" s="119">
        <f>C32</f>
        <v>48.7</v>
      </c>
    </row>
    <row r="35" spans="1:3" ht="15.75" x14ac:dyDescent="0.25">
      <c r="A35" s="258" t="s">
        <v>21</v>
      </c>
      <c r="B35" s="258"/>
      <c r="C35" s="120">
        <v>3</v>
      </c>
    </row>
    <row r="36" spans="1:3" ht="15.75" x14ac:dyDescent="0.25">
      <c r="A36" s="258" t="s">
        <v>22</v>
      </c>
      <c r="B36" s="258"/>
      <c r="C36" s="119">
        <f>C35*C34</f>
        <v>146.10000000000002</v>
      </c>
    </row>
  </sheetData>
  <mergeCells count="5">
    <mergeCell ref="B2:C2"/>
    <mergeCell ref="A33:B33"/>
    <mergeCell ref="A34:B34"/>
    <mergeCell ref="A35:B35"/>
    <mergeCell ref="A36:B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F2C2A-E4A3-412F-83B8-544AC3B28D6C}">
  <sheetPr>
    <tabColor theme="9" tint="0.79998168889431442"/>
  </sheetPr>
  <dimension ref="A1:D58"/>
  <sheetViews>
    <sheetView topLeftCell="A42" zoomScaleNormal="100" workbookViewId="0">
      <selection activeCell="B58" sqref="B58"/>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4" x14ac:dyDescent="0.25">
      <c r="A1" s="148" t="s">
        <v>66</v>
      </c>
      <c r="B1" s="149" t="s">
        <v>67</v>
      </c>
      <c r="C1" s="150"/>
    </row>
    <row r="2" spans="1:4" ht="31.5" x14ac:dyDescent="0.25">
      <c r="A2" s="151" t="s">
        <v>68</v>
      </c>
      <c r="B2" s="254" t="s">
        <v>509</v>
      </c>
      <c r="C2" s="254"/>
    </row>
    <row r="3" spans="1:4" ht="63" x14ac:dyDescent="0.25">
      <c r="A3" s="151"/>
      <c r="B3" s="152" t="s">
        <v>510</v>
      </c>
      <c r="C3" s="152"/>
    </row>
    <row r="4" spans="1:4" x14ac:dyDescent="0.25">
      <c r="A4" s="149"/>
      <c r="B4" s="152" t="s">
        <v>524</v>
      </c>
      <c r="C4" s="152"/>
    </row>
    <row r="5" spans="1:4" x14ac:dyDescent="0.25">
      <c r="A5" s="151" t="s">
        <v>71</v>
      </c>
      <c r="B5" s="152" t="s">
        <v>203</v>
      </c>
      <c r="C5" s="152"/>
    </row>
    <row r="8" spans="1:4" ht="63" x14ac:dyDescent="0.25">
      <c r="A8" s="153" t="s">
        <v>0</v>
      </c>
      <c r="B8" s="153" t="s">
        <v>1</v>
      </c>
      <c r="C8" s="153" t="s">
        <v>2</v>
      </c>
    </row>
    <row r="9" spans="1:4" x14ac:dyDescent="0.25">
      <c r="A9" s="153">
        <v>1</v>
      </c>
      <c r="B9" s="153">
        <v>2</v>
      </c>
      <c r="C9" s="153">
        <v>3</v>
      </c>
    </row>
    <row r="10" spans="1:4" x14ac:dyDescent="0.25">
      <c r="A10" s="154"/>
      <c r="B10" s="153" t="s">
        <v>3</v>
      </c>
      <c r="C10" s="153" t="s">
        <v>4</v>
      </c>
    </row>
    <row r="11" spans="1:4" x14ac:dyDescent="0.25">
      <c r="A11" s="155"/>
      <c r="B11" s="155" t="s">
        <v>512</v>
      </c>
      <c r="C11" s="155"/>
    </row>
    <row r="12" spans="1:4" ht="94.5" x14ac:dyDescent="0.25">
      <c r="A12" s="156">
        <v>1100</v>
      </c>
      <c r="B12" s="157" t="s">
        <v>513</v>
      </c>
      <c r="C12" s="158">
        <f>ROUND((10*0.083),2)</f>
        <v>0.83</v>
      </c>
    </row>
    <row r="13" spans="1:4" ht="78.75" x14ac:dyDescent="0.25">
      <c r="A13" s="156">
        <v>1100</v>
      </c>
      <c r="B13" s="157" t="s">
        <v>514</v>
      </c>
      <c r="C13" s="159">
        <f>10*1</f>
        <v>10</v>
      </c>
      <c r="D13" s="171"/>
    </row>
    <row r="14" spans="1:4" ht="78.75" x14ac:dyDescent="0.25">
      <c r="A14" s="156">
        <v>1100</v>
      </c>
      <c r="B14" s="157" t="s">
        <v>515</v>
      </c>
      <c r="C14" s="158">
        <f>ROUND((10*0.667),2)</f>
        <v>6.67</v>
      </c>
    </row>
    <row r="15" spans="1:4" x14ac:dyDescent="0.25">
      <c r="A15" s="156">
        <v>2322</v>
      </c>
      <c r="B15" s="157" t="s">
        <v>516</v>
      </c>
      <c r="C15" s="158">
        <v>7.79</v>
      </c>
    </row>
    <row r="16" spans="1:4" x14ac:dyDescent="0.25">
      <c r="A16" s="156">
        <v>2310</v>
      </c>
      <c r="B16" s="157" t="s">
        <v>517</v>
      </c>
      <c r="C16" s="158">
        <v>1.37</v>
      </c>
    </row>
    <row r="17" spans="1:3" x14ac:dyDescent="0.25">
      <c r="A17" s="156"/>
      <c r="B17" s="160" t="s">
        <v>518</v>
      </c>
      <c r="C17" s="158">
        <f>SUM(C12:C16)</f>
        <v>26.66</v>
      </c>
    </row>
    <row r="18" spans="1:3" x14ac:dyDescent="0.25">
      <c r="A18" s="156"/>
      <c r="B18" s="157" t="s">
        <v>519</v>
      </c>
      <c r="C18" s="158"/>
    </row>
    <row r="19" spans="1:3" ht="94.5" x14ac:dyDescent="0.25">
      <c r="A19" s="156">
        <v>1100</v>
      </c>
      <c r="B19" s="161" t="s">
        <v>189</v>
      </c>
      <c r="C19" s="158">
        <f>9.63*0.25</f>
        <v>2.4075000000000002</v>
      </c>
    </row>
    <row r="20" spans="1:3" x14ac:dyDescent="0.25">
      <c r="A20" s="156">
        <v>2341</v>
      </c>
      <c r="B20" s="161" t="s">
        <v>190</v>
      </c>
      <c r="C20" s="153">
        <v>3.3</v>
      </c>
    </row>
    <row r="21" spans="1:3" x14ac:dyDescent="0.25">
      <c r="A21" s="129">
        <v>2239</v>
      </c>
      <c r="B21" s="117" t="s">
        <v>191</v>
      </c>
      <c r="C21" s="153">
        <v>0.23</v>
      </c>
    </row>
    <row r="22" spans="1:3" x14ac:dyDescent="0.25">
      <c r="A22" s="154"/>
      <c r="B22" s="160" t="s">
        <v>39</v>
      </c>
      <c r="C22" s="159">
        <f>SUM(C19:C21)</f>
        <v>5.9375</v>
      </c>
    </row>
    <row r="23" spans="1:3" x14ac:dyDescent="0.25">
      <c r="A23" s="154"/>
      <c r="B23" s="157" t="s">
        <v>520</v>
      </c>
      <c r="C23" s="162"/>
    </row>
    <row r="24" spans="1:3" x14ac:dyDescent="0.25">
      <c r="A24" s="154"/>
      <c r="B24" s="163" t="s">
        <v>192</v>
      </c>
      <c r="C24" s="162"/>
    </row>
    <row r="25" spans="1:3" ht="94.5" x14ac:dyDescent="0.25">
      <c r="A25" s="156">
        <v>1100</v>
      </c>
      <c r="B25" s="161" t="s">
        <v>521</v>
      </c>
      <c r="C25" s="159">
        <f>9.63*0.5</f>
        <v>4.8150000000000004</v>
      </c>
    </row>
    <row r="26" spans="1:3" x14ac:dyDescent="0.25">
      <c r="A26" s="156">
        <v>2341</v>
      </c>
      <c r="B26" s="157" t="s">
        <v>194</v>
      </c>
      <c r="C26" s="162">
        <v>0.38</v>
      </c>
    </row>
    <row r="27" spans="1:3" x14ac:dyDescent="0.25">
      <c r="A27" s="156"/>
      <c r="B27" s="164" t="s">
        <v>204</v>
      </c>
      <c r="C27" s="162"/>
    </row>
    <row r="28" spans="1:3" ht="94.5" x14ac:dyDescent="0.25">
      <c r="A28" s="156">
        <v>1100</v>
      </c>
      <c r="B28" s="161" t="s">
        <v>205</v>
      </c>
      <c r="C28" s="162">
        <v>9.6300000000000008</v>
      </c>
    </row>
    <row r="29" spans="1:3" x14ac:dyDescent="0.25">
      <c r="A29" s="156">
        <v>2341</v>
      </c>
      <c r="B29" s="157" t="s">
        <v>194</v>
      </c>
      <c r="C29" s="162">
        <v>0.19</v>
      </c>
    </row>
    <row r="30" spans="1:3" x14ac:dyDescent="0.25">
      <c r="A30" s="156"/>
      <c r="B30" s="165" t="s">
        <v>195</v>
      </c>
      <c r="C30" s="162"/>
    </row>
    <row r="31" spans="1:3" ht="94.5" x14ac:dyDescent="0.25">
      <c r="A31" s="156">
        <v>1100</v>
      </c>
      <c r="B31" s="161" t="s">
        <v>229</v>
      </c>
      <c r="C31" s="162">
        <f>ROUND((9.63*0.75),2)</f>
        <v>7.22</v>
      </c>
    </row>
    <row r="32" spans="1:3" x14ac:dyDescent="0.25">
      <c r="A32" s="156">
        <v>2341</v>
      </c>
      <c r="B32" s="157" t="s">
        <v>194</v>
      </c>
      <c r="C32" s="159">
        <v>2.9</v>
      </c>
    </row>
    <row r="33" spans="1:3" x14ac:dyDescent="0.25">
      <c r="A33" s="156"/>
      <c r="B33" s="165" t="s">
        <v>197</v>
      </c>
      <c r="C33" s="162"/>
    </row>
    <row r="34" spans="1:3" ht="94.5" x14ac:dyDescent="0.25">
      <c r="A34" s="156">
        <v>1100</v>
      </c>
      <c r="B34" s="161" t="s">
        <v>522</v>
      </c>
      <c r="C34" s="162">
        <f>ROUND((9.63*0.1333),2)</f>
        <v>1.28</v>
      </c>
    </row>
    <row r="35" spans="1:3" x14ac:dyDescent="0.25">
      <c r="A35" s="156"/>
      <c r="B35" s="163" t="s">
        <v>78</v>
      </c>
      <c r="C35" s="162"/>
    </row>
    <row r="36" spans="1:3" ht="94.5" x14ac:dyDescent="0.25">
      <c r="A36" s="156">
        <v>1100</v>
      </c>
      <c r="B36" s="161" t="s">
        <v>209</v>
      </c>
      <c r="C36" s="159">
        <f>ROUND((9.63*0.333),2)</f>
        <v>3.21</v>
      </c>
    </row>
    <row r="37" spans="1:3" x14ac:dyDescent="0.25">
      <c r="A37" s="156"/>
      <c r="B37" s="160" t="s">
        <v>199</v>
      </c>
      <c r="C37" s="159">
        <f>SUM(C25:C36)</f>
        <v>29.625</v>
      </c>
    </row>
    <row r="38" spans="1:3" x14ac:dyDescent="0.25">
      <c r="A38" s="155"/>
      <c r="B38" s="155" t="s">
        <v>523</v>
      </c>
      <c r="C38" s="162"/>
    </row>
    <row r="39" spans="1:3" ht="94.5" x14ac:dyDescent="0.25">
      <c r="A39" s="156">
        <v>1100</v>
      </c>
      <c r="B39" s="157" t="s">
        <v>200</v>
      </c>
      <c r="C39" s="159">
        <f>ROUND((12.97*0.083),2)</f>
        <v>1.08</v>
      </c>
    </row>
    <row r="40" spans="1:3" x14ac:dyDescent="0.25">
      <c r="A40" s="154"/>
      <c r="B40" s="160" t="s">
        <v>55</v>
      </c>
      <c r="C40" s="159">
        <f>C39</f>
        <v>1.08</v>
      </c>
    </row>
    <row r="41" spans="1:3" x14ac:dyDescent="0.25">
      <c r="A41" s="154"/>
      <c r="B41" s="160" t="s">
        <v>8</v>
      </c>
      <c r="C41" s="159">
        <f>SUM(C17,C22,C37,C40)</f>
        <v>63.302499999999995</v>
      </c>
    </row>
    <row r="42" spans="1:3" x14ac:dyDescent="0.25">
      <c r="A42" s="154"/>
      <c r="B42" s="153" t="s">
        <v>9</v>
      </c>
      <c r="C42" s="153" t="s">
        <v>4</v>
      </c>
    </row>
    <row r="43" spans="1:3" x14ac:dyDescent="0.25">
      <c r="A43" s="153">
        <v>1100</v>
      </c>
      <c r="B43" s="166" t="s">
        <v>10</v>
      </c>
      <c r="C43" s="158">
        <v>0.61</v>
      </c>
    </row>
    <row r="44" spans="1:3" x14ac:dyDescent="0.25">
      <c r="A44" s="129">
        <v>2210</v>
      </c>
      <c r="B44" s="167" t="s">
        <v>11</v>
      </c>
      <c r="C44" s="162">
        <v>0.2</v>
      </c>
    </row>
    <row r="45" spans="1:3" x14ac:dyDescent="0.25">
      <c r="A45" s="129">
        <v>2220</v>
      </c>
      <c r="B45" s="167" t="s">
        <v>12</v>
      </c>
      <c r="C45" s="153">
        <v>0.78</v>
      </c>
    </row>
    <row r="46" spans="1:3" ht="15.6" customHeight="1" x14ac:dyDescent="0.25">
      <c r="A46" s="129">
        <v>2240</v>
      </c>
      <c r="B46" s="167" t="s">
        <v>56</v>
      </c>
      <c r="C46" s="153">
        <v>2.0699999999999998</v>
      </c>
    </row>
    <row r="47" spans="1:3" ht="15.6" customHeight="1" x14ac:dyDescent="0.25">
      <c r="A47" s="129">
        <v>2310</v>
      </c>
      <c r="B47" s="167" t="s">
        <v>15</v>
      </c>
      <c r="C47" s="158">
        <v>0.38</v>
      </c>
    </row>
    <row r="48" spans="1:3" ht="15.6" customHeight="1" x14ac:dyDescent="0.25">
      <c r="A48" s="162">
        <v>5200</v>
      </c>
      <c r="B48" s="168" t="s">
        <v>201</v>
      </c>
      <c r="C48" s="158">
        <v>0.38</v>
      </c>
    </row>
    <row r="49" spans="1:4" ht="15.6" customHeight="1" x14ac:dyDescent="0.25">
      <c r="A49" s="154"/>
      <c r="B49" s="160" t="s">
        <v>17</v>
      </c>
      <c r="C49" s="158">
        <f>SUM(C43:C48)</f>
        <v>4.42</v>
      </c>
    </row>
    <row r="50" spans="1:4" x14ac:dyDescent="0.25">
      <c r="A50" s="153"/>
      <c r="B50" s="169" t="s">
        <v>18</v>
      </c>
      <c r="C50" s="158">
        <f>SUM(C41,C49)</f>
        <v>67.722499999999997</v>
      </c>
      <c r="D50" s="171"/>
    </row>
    <row r="51" spans="1:4" x14ac:dyDescent="0.25">
      <c r="A51" s="255" t="s">
        <v>19</v>
      </c>
      <c r="B51" s="256"/>
      <c r="C51" s="162">
        <v>1</v>
      </c>
    </row>
    <row r="52" spans="1:4" x14ac:dyDescent="0.25">
      <c r="A52" s="255" t="s">
        <v>528</v>
      </c>
      <c r="B52" s="256"/>
      <c r="C52" s="159">
        <f>C50</f>
        <v>67.722499999999997</v>
      </c>
    </row>
    <row r="53" spans="1:4" x14ac:dyDescent="0.25">
      <c r="A53" s="255" t="s">
        <v>21</v>
      </c>
      <c r="B53" s="256"/>
      <c r="C53" s="162">
        <v>1100</v>
      </c>
    </row>
    <row r="54" spans="1:4" x14ac:dyDescent="0.25">
      <c r="A54" s="257" t="s">
        <v>529</v>
      </c>
      <c r="B54" s="257"/>
      <c r="C54" s="159">
        <f>C53*C52</f>
        <v>74494.75</v>
      </c>
    </row>
    <row r="55" spans="1:4" x14ac:dyDescent="0.25">
      <c r="C55" s="250">
        <v>36.42</v>
      </c>
    </row>
    <row r="56" spans="1:4" x14ac:dyDescent="0.25">
      <c r="C56" s="245">
        <v>1100</v>
      </c>
    </row>
    <row r="57" spans="1:4" x14ac:dyDescent="0.25">
      <c r="C57" s="245">
        <f>C55*C56</f>
        <v>40062</v>
      </c>
    </row>
    <row r="58" spans="1:4" ht="47.25" x14ac:dyDescent="0.25">
      <c r="B58" s="248" t="s">
        <v>702</v>
      </c>
    </row>
  </sheetData>
  <mergeCells count="5">
    <mergeCell ref="A52:B52"/>
    <mergeCell ref="A53:B53"/>
    <mergeCell ref="A54:B54"/>
    <mergeCell ref="B2:C2"/>
    <mergeCell ref="A51:B5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874B-87FC-4586-A7EF-2AD192D0BEF5}">
  <sheetPr>
    <tabColor theme="9" tint="0.79998168889431442"/>
  </sheetPr>
  <dimension ref="A1:C39"/>
  <sheetViews>
    <sheetView topLeftCell="A11" zoomScale="70" zoomScaleNormal="70"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31"/>
      <c r="B3" s="32" t="s">
        <v>230</v>
      </c>
      <c r="C3" s="32"/>
    </row>
    <row r="4" spans="1:3" ht="15.75" x14ac:dyDescent="0.25">
      <c r="A4" s="31" t="s">
        <v>71</v>
      </c>
      <c r="B4" s="32" t="s">
        <v>203</v>
      </c>
      <c r="C4" s="32"/>
    </row>
    <row r="5" spans="1:3" ht="15.75" x14ac:dyDescent="0.25">
      <c r="A5" s="31"/>
      <c r="B5" s="32"/>
      <c r="C5" s="32"/>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29">
        <v>2239</v>
      </c>
      <c r="B13" s="117" t="s">
        <v>191</v>
      </c>
      <c r="C13" s="112">
        <v>0.23</v>
      </c>
    </row>
    <row r="14" spans="1:3" ht="15.75" x14ac:dyDescent="0.25">
      <c r="A14" s="113"/>
      <c r="B14" s="118" t="s">
        <v>39</v>
      </c>
      <c r="C14" s="119">
        <f>SUM(C11:C13)</f>
        <v>5.7100000000000009</v>
      </c>
    </row>
    <row r="15" spans="1:3" ht="15.75" x14ac:dyDescent="0.25">
      <c r="A15" s="113"/>
      <c r="B15" s="94" t="s">
        <v>40</v>
      </c>
      <c r="C15" s="120"/>
    </row>
    <row r="16" spans="1:3" ht="15.75" x14ac:dyDescent="0.25">
      <c r="A16" s="113"/>
      <c r="B16" s="121" t="s">
        <v>192</v>
      </c>
      <c r="C16" s="120"/>
    </row>
    <row r="17" spans="1:3" ht="94.5" x14ac:dyDescent="0.25">
      <c r="A17" s="93">
        <v>1100</v>
      </c>
      <c r="B17" s="114" t="s">
        <v>229</v>
      </c>
      <c r="C17" s="115">
        <f>ROUND((9.63*0.75),2)</f>
        <v>7.22</v>
      </c>
    </row>
    <row r="18" spans="1:3" ht="15.75" x14ac:dyDescent="0.25">
      <c r="A18" s="93">
        <v>2341</v>
      </c>
      <c r="B18" s="94" t="s">
        <v>221</v>
      </c>
      <c r="C18" s="120">
        <v>0.38</v>
      </c>
    </row>
    <row r="19" spans="1:3" ht="15.75" x14ac:dyDescent="0.25">
      <c r="A19" s="113"/>
      <c r="B19" s="121" t="s">
        <v>195</v>
      </c>
      <c r="C19" s="120"/>
    </row>
    <row r="20" spans="1:3" ht="94.5" x14ac:dyDescent="0.25">
      <c r="A20" s="93">
        <v>1100</v>
      </c>
      <c r="B20" s="114" t="s">
        <v>231</v>
      </c>
      <c r="C20" s="115">
        <f>ROUND((9.63*1.5),2)</f>
        <v>14.45</v>
      </c>
    </row>
    <row r="21" spans="1:3" ht="15.75" x14ac:dyDescent="0.25">
      <c r="A21" s="93">
        <v>2341</v>
      </c>
      <c r="B21" s="94" t="s">
        <v>232</v>
      </c>
      <c r="C21" s="120">
        <v>2.9</v>
      </c>
    </row>
    <row r="22" spans="1:3" ht="15.75" x14ac:dyDescent="0.25">
      <c r="A22" s="113"/>
      <c r="B22" s="118" t="s">
        <v>50</v>
      </c>
      <c r="C22" s="119">
        <f>SUM(C17:C21)</f>
        <v>24.949999999999996</v>
      </c>
    </row>
    <row r="23" spans="1:3" ht="15.75" x14ac:dyDescent="0.25">
      <c r="A23" s="123"/>
      <c r="B23" s="123" t="s">
        <v>51</v>
      </c>
      <c r="C23" s="120"/>
    </row>
    <row r="24" spans="1:3" ht="94.5" x14ac:dyDescent="0.25">
      <c r="A24" s="93">
        <v>1100</v>
      </c>
      <c r="B24" s="94" t="s">
        <v>200</v>
      </c>
      <c r="C24" s="119">
        <f>ROUND((12.97*0.083),2)</f>
        <v>1.08</v>
      </c>
    </row>
    <row r="25" spans="1:3" ht="15.75" x14ac:dyDescent="0.25">
      <c r="A25" s="113"/>
      <c r="B25" s="118" t="s">
        <v>55</v>
      </c>
      <c r="C25" s="120">
        <f>C24</f>
        <v>1.08</v>
      </c>
    </row>
    <row r="26" spans="1:3" ht="15.75" x14ac:dyDescent="0.25">
      <c r="A26" s="113"/>
      <c r="B26" s="118" t="s">
        <v>8</v>
      </c>
      <c r="C26" s="119">
        <f>SUM(C14,C22,C25)</f>
        <v>31.739999999999995</v>
      </c>
    </row>
    <row r="27" spans="1:3" ht="15.75" x14ac:dyDescent="0.25">
      <c r="A27" s="113"/>
      <c r="B27" s="112" t="s">
        <v>9</v>
      </c>
      <c r="C27" s="112" t="s">
        <v>4</v>
      </c>
    </row>
    <row r="28" spans="1:3" ht="15.75" x14ac:dyDescent="0.25">
      <c r="A28" s="112">
        <v>1100</v>
      </c>
      <c r="B28" s="124" t="s">
        <v>10</v>
      </c>
      <c r="C28" s="112">
        <v>0.3</v>
      </c>
    </row>
    <row r="29" spans="1:3" ht="15.75" x14ac:dyDescent="0.25">
      <c r="A29" s="125">
        <v>2210</v>
      </c>
      <c r="B29" s="126" t="s">
        <v>11</v>
      </c>
      <c r="C29" s="120">
        <v>0.1</v>
      </c>
    </row>
    <row r="30" spans="1:3" ht="15.75" x14ac:dyDescent="0.25">
      <c r="A30" s="125">
        <v>2220</v>
      </c>
      <c r="B30" s="126" t="s">
        <v>12</v>
      </c>
      <c r="C30" s="115">
        <v>0.39</v>
      </c>
    </row>
    <row r="31" spans="1:3" ht="15.75" x14ac:dyDescent="0.25">
      <c r="A31" s="125">
        <v>2240</v>
      </c>
      <c r="B31" s="126" t="s">
        <v>56</v>
      </c>
      <c r="C31" s="112">
        <v>1.04</v>
      </c>
    </row>
    <row r="32" spans="1:3" ht="15.75" x14ac:dyDescent="0.25">
      <c r="A32" s="125">
        <v>2310</v>
      </c>
      <c r="B32" s="126" t="s">
        <v>15</v>
      </c>
      <c r="C32" s="115">
        <v>0.19</v>
      </c>
    </row>
    <row r="33" spans="1:3" ht="15.75" x14ac:dyDescent="0.25">
      <c r="A33" s="120">
        <v>5200</v>
      </c>
      <c r="B33" s="127" t="s">
        <v>201</v>
      </c>
      <c r="C33" s="115">
        <v>0.19</v>
      </c>
    </row>
    <row r="34" spans="1:3" ht="15.75" x14ac:dyDescent="0.25">
      <c r="A34" s="113"/>
      <c r="B34" s="118" t="s">
        <v>17</v>
      </c>
      <c r="C34" s="115">
        <f>SUM(C28:C33)</f>
        <v>2.21</v>
      </c>
    </row>
    <row r="35" spans="1:3" ht="15.75" x14ac:dyDescent="0.25">
      <c r="A35" s="112"/>
      <c r="B35" s="128" t="s">
        <v>18</v>
      </c>
      <c r="C35" s="115">
        <f>SUM(C26,C34)</f>
        <v>33.949999999999996</v>
      </c>
    </row>
    <row r="36" spans="1:3" ht="15.75" x14ac:dyDescent="0.25">
      <c r="A36" s="258" t="s">
        <v>19</v>
      </c>
      <c r="B36" s="258"/>
      <c r="C36" s="120">
        <v>1</v>
      </c>
    </row>
    <row r="37" spans="1:3" ht="15.75" x14ac:dyDescent="0.25">
      <c r="A37" s="258" t="s">
        <v>20</v>
      </c>
      <c r="B37" s="258"/>
      <c r="C37" s="119">
        <f>C35</f>
        <v>33.949999999999996</v>
      </c>
    </row>
    <row r="38" spans="1:3" ht="15.75" x14ac:dyDescent="0.25">
      <c r="A38" s="258" t="s">
        <v>21</v>
      </c>
      <c r="B38" s="258"/>
      <c r="C38" s="120">
        <v>64</v>
      </c>
    </row>
    <row r="39" spans="1:3" ht="15.75" x14ac:dyDescent="0.25">
      <c r="A39" s="258" t="s">
        <v>22</v>
      </c>
      <c r="B39" s="258"/>
      <c r="C39" s="119">
        <f>C38*C37</f>
        <v>2172.7999999999997</v>
      </c>
    </row>
  </sheetData>
  <mergeCells count="5">
    <mergeCell ref="B2:C2"/>
    <mergeCell ref="A36:B36"/>
    <mergeCell ref="A37:B37"/>
    <mergeCell ref="A38:B38"/>
    <mergeCell ref="A39:B3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0CC01-CB31-44D1-91ED-DA05AAAA1616}">
  <sheetPr>
    <tabColor theme="9" tint="0.79998168889431442"/>
  </sheetPr>
  <dimension ref="A1:C39"/>
  <sheetViews>
    <sheetView zoomScale="70" zoomScaleNormal="70" workbookViewId="0">
      <selection sqref="A1:C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29"/>
      <c r="B3" s="32" t="s">
        <v>206</v>
      </c>
      <c r="C3" s="32"/>
    </row>
    <row r="4" spans="1:3" ht="15.75" x14ac:dyDescent="0.25">
      <c r="A4" s="31" t="s">
        <v>71</v>
      </c>
      <c r="B4" s="32" t="s">
        <v>203</v>
      </c>
      <c r="C4" s="32"/>
    </row>
    <row r="5" spans="1:3" ht="15.75" x14ac:dyDescent="0.25">
      <c r="A5" s="31"/>
      <c r="B5" s="32"/>
      <c r="C5" s="32"/>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3.3</v>
      </c>
    </row>
    <row r="13" spans="1:3" ht="15.75" x14ac:dyDescent="0.25">
      <c r="A13" s="116">
        <v>2239</v>
      </c>
      <c r="B13" s="117" t="s">
        <v>191</v>
      </c>
      <c r="C13" s="112">
        <v>0.23</v>
      </c>
    </row>
    <row r="14" spans="1:3" ht="15.75" x14ac:dyDescent="0.25">
      <c r="A14" s="113"/>
      <c r="B14" s="118" t="s">
        <v>39</v>
      </c>
      <c r="C14" s="119">
        <f>SUM(C11:C13)</f>
        <v>5.94</v>
      </c>
    </row>
    <row r="15" spans="1:3" ht="15.75" x14ac:dyDescent="0.25">
      <c r="A15" s="113"/>
      <c r="B15" s="94" t="s">
        <v>40</v>
      </c>
      <c r="C15" s="120"/>
    </row>
    <row r="16" spans="1:3" ht="15.75" x14ac:dyDescent="0.25">
      <c r="A16" s="113"/>
      <c r="B16" s="121" t="s">
        <v>192</v>
      </c>
      <c r="C16" s="120"/>
    </row>
    <row r="17" spans="1:3" ht="94.5" x14ac:dyDescent="0.25">
      <c r="A17" s="93">
        <v>1100</v>
      </c>
      <c r="B17" s="114" t="s">
        <v>193</v>
      </c>
      <c r="C17" s="119">
        <f>ROUND((9.63*0.5),2)</f>
        <v>4.82</v>
      </c>
    </row>
    <row r="18" spans="1:3" ht="15.75" x14ac:dyDescent="0.25">
      <c r="A18" s="93">
        <v>2341</v>
      </c>
      <c r="B18" s="94" t="s">
        <v>194</v>
      </c>
      <c r="C18" s="120">
        <v>0.38</v>
      </c>
    </row>
    <row r="19" spans="1:3" ht="15.75" x14ac:dyDescent="0.25">
      <c r="A19" s="113"/>
      <c r="B19" s="121" t="s">
        <v>195</v>
      </c>
      <c r="C19" s="120"/>
    </row>
    <row r="20" spans="1:3" ht="94.5" x14ac:dyDescent="0.25">
      <c r="A20" s="93">
        <v>1100</v>
      </c>
      <c r="B20" s="114" t="s">
        <v>196</v>
      </c>
      <c r="C20" s="119">
        <f>ROUND((9.63*0.75),2)</f>
        <v>7.22</v>
      </c>
    </row>
    <row r="21" spans="1:3" ht="15.75" x14ac:dyDescent="0.25">
      <c r="A21" s="93">
        <v>2341</v>
      </c>
      <c r="B21" s="94" t="s">
        <v>194</v>
      </c>
      <c r="C21" s="119">
        <v>2.9</v>
      </c>
    </row>
    <row r="22" spans="1:3" ht="15.75" x14ac:dyDescent="0.25">
      <c r="A22" s="113"/>
      <c r="B22" s="118" t="s">
        <v>50</v>
      </c>
      <c r="C22" s="119">
        <f>SUM(C17:C21)</f>
        <v>15.32</v>
      </c>
    </row>
    <row r="23" spans="1:3" ht="15.75" x14ac:dyDescent="0.25">
      <c r="A23" s="123"/>
      <c r="B23" s="123" t="s">
        <v>51</v>
      </c>
      <c r="C23" s="120"/>
    </row>
    <row r="24" spans="1:3" ht="94.5" x14ac:dyDescent="0.25">
      <c r="A24" s="93">
        <v>1100</v>
      </c>
      <c r="B24" s="94" t="s">
        <v>200</v>
      </c>
      <c r="C24" s="119">
        <f>ROUND((12.97*0.083),2)</f>
        <v>1.08</v>
      </c>
    </row>
    <row r="25" spans="1:3" ht="15.75" x14ac:dyDescent="0.25">
      <c r="A25" s="113"/>
      <c r="B25" s="118" t="s">
        <v>55</v>
      </c>
      <c r="C25" s="120">
        <f>C24</f>
        <v>1.08</v>
      </c>
    </row>
    <row r="26" spans="1:3" ht="15.75" x14ac:dyDescent="0.25">
      <c r="A26" s="113"/>
      <c r="B26" s="118" t="s">
        <v>8</v>
      </c>
      <c r="C26" s="119">
        <f>SUM(C14,C22,C25)</f>
        <v>22.340000000000003</v>
      </c>
    </row>
    <row r="27" spans="1:3" ht="15.75" x14ac:dyDescent="0.25">
      <c r="A27" s="113"/>
      <c r="B27" s="112" t="s">
        <v>9</v>
      </c>
      <c r="C27" s="112" t="s">
        <v>4</v>
      </c>
    </row>
    <row r="28" spans="1:3" ht="15.75" x14ac:dyDescent="0.25">
      <c r="A28" s="112">
        <v>1100</v>
      </c>
      <c r="B28" s="124" t="s">
        <v>10</v>
      </c>
      <c r="C28" s="112">
        <v>0.21</v>
      </c>
    </row>
    <row r="29" spans="1:3" ht="15.75" x14ac:dyDescent="0.25">
      <c r="A29" s="125">
        <v>2210</v>
      </c>
      <c r="B29" s="126" t="s">
        <v>11</v>
      </c>
      <c r="C29" s="120">
        <v>7.0000000000000007E-2</v>
      </c>
    </row>
    <row r="30" spans="1:3" ht="15.75" x14ac:dyDescent="0.25">
      <c r="A30" s="125">
        <v>2220</v>
      </c>
      <c r="B30" s="126" t="s">
        <v>12</v>
      </c>
      <c r="C30" s="115">
        <v>0.28000000000000003</v>
      </c>
    </row>
    <row r="31" spans="1:3" ht="15.75" x14ac:dyDescent="0.25">
      <c r="A31" s="125">
        <v>2240</v>
      </c>
      <c r="B31" s="126" t="s">
        <v>56</v>
      </c>
      <c r="C31" s="112">
        <v>0.73</v>
      </c>
    </row>
    <row r="32" spans="1:3" ht="15.75" x14ac:dyDescent="0.25">
      <c r="A32" s="125">
        <v>2310</v>
      </c>
      <c r="B32" s="126" t="s">
        <v>15</v>
      </c>
      <c r="C32" s="115">
        <v>0.13</v>
      </c>
    </row>
    <row r="33" spans="1:3" ht="15.75" x14ac:dyDescent="0.25">
      <c r="A33" s="120">
        <v>5200</v>
      </c>
      <c r="B33" s="127" t="s">
        <v>201</v>
      </c>
      <c r="C33" s="115">
        <v>0.14000000000000001</v>
      </c>
    </row>
    <row r="34" spans="1:3" ht="15.75" x14ac:dyDescent="0.25">
      <c r="A34" s="113"/>
      <c r="B34" s="118" t="s">
        <v>17</v>
      </c>
      <c r="C34" s="115">
        <f>SUM(C28:C33)</f>
        <v>1.56</v>
      </c>
    </row>
    <row r="35" spans="1:3" ht="15.75" x14ac:dyDescent="0.25">
      <c r="A35" s="112"/>
      <c r="B35" s="128" t="s">
        <v>18</v>
      </c>
      <c r="C35" s="115">
        <f>SUM(C26,C34)</f>
        <v>23.900000000000002</v>
      </c>
    </row>
    <row r="36" spans="1:3" ht="15.75" x14ac:dyDescent="0.25">
      <c r="A36" s="258" t="s">
        <v>19</v>
      </c>
      <c r="B36" s="258"/>
      <c r="C36" s="120">
        <v>1</v>
      </c>
    </row>
    <row r="37" spans="1:3" ht="15.75" x14ac:dyDescent="0.25">
      <c r="A37" s="258" t="s">
        <v>20</v>
      </c>
      <c r="B37" s="258"/>
      <c r="C37" s="119">
        <f>C35</f>
        <v>23.900000000000002</v>
      </c>
    </row>
    <row r="38" spans="1:3" ht="15.75" x14ac:dyDescent="0.25">
      <c r="A38" s="258" t="s">
        <v>21</v>
      </c>
      <c r="B38" s="258"/>
      <c r="C38" s="120">
        <v>744</v>
      </c>
    </row>
    <row r="39" spans="1:3" ht="15.75" x14ac:dyDescent="0.25">
      <c r="A39" s="258" t="s">
        <v>22</v>
      </c>
      <c r="B39" s="258"/>
      <c r="C39" s="119">
        <f>C38*C37</f>
        <v>17781.600000000002</v>
      </c>
    </row>
  </sheetData>
  <mergeCells count="5">
    <mergeCell ref="B2:C2"/>
    <mergeCell ref="A36:B36"/>
    <mergeCell ref="A37:B37"/>
    <mergeCell ref="A38:B38"/>
    <mergeCell ref="A39:B3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4EFD-4039-4090-BDAE-240DEE836253}">
  <sheetPr>
    <tabColor theme="9" tint="0.79998168889431442"/>
  </sheetPr>
  <dimension ref="A1:D38"/>
  <sheetViews>
    <sheetView zoomScale="85" zoomScaleNormal="85" workbookViewId="0">
      <selection activeCell="A2" sqref="A2"/>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185</v>
      </c>
      <c r="C2" s="254"/>
    </row>
    <row r="3" spans="1:3" x14ac:dyDescent="0.25">
      <c r="A3" s="149"/>
      <c r="B3" s="152" t="s">
        <v>543</v>
      </c>
      <c r="C3" s="152"/>
    </row>
    <row r="4" spans="1:3" x14ac:dyDescent="0.25">
      <c r="A4" s="151" t="s">
        <v>71</v>
      </c>
      <c r="B4" s="152" t="s">
        <v>203</v>
      </c>
      <c r="C4" s="152"/>
    </row>
    <row r="7" spans="1:3" ht="63" x14ac:dyDescent="0.25">
      <c r="A7" s="153" t="s">
        <v>0</v>
      </c>
      <c r="B7" s="153" t="s">
        <v>1</v>
      </c>
      <c r="C7" s="153" t="s">
        <v>2</v>
      </c>
    </row>
    <row r="8" spans="1:3" x14ac:dyDescent="0.25">
      <c r="A8" s="153">
        <v>1</v>
      </c>
      <c r="B8" s="153">
        <v>2</v>
      </c>
      <c r="C8" s="153">
        <v>3</v>
      </c>
    </row>
    <row r="9" spans="1:3" x14ac:dyDescent="0.25">
      <c r="A9" s="154"/>
      <c r="B9" s="153" t="s">
        <v>3</v>
      </c>
      <c r="C9" s="153" t="s">
        <v>4</v>
      </c>
    </row>
    <row r="10" spans="1:3" x14ac:dyDescent="0.25">
      <c r="A10" s="154"/>
      <c r="B10" s="157" t="s">
        <v>188</v>
      </c>
      <c r="C10" s="153"/>
    </row>
    <row r="11" spans="1:3" ht="94.5" x14ac:dyDescent="0.25">
      <c r="A11" s="156">
        <v>1100</v>
      </c>
      <c r="B11" s="161" t="s">
        <v>189</v>
      </c>
      <c r="C11" s="158">
        <f>ROUND((9.63*0.25),2)</f>
        <v>2.41</v>
      </c>
    </row>
    <row r="12" spans="1:3" x14ac:dyDescent="0.25">
      <c r="A12" s="156">
        <v>2341</v>
      </c>
      <c r="B12" s="161" t="s">
        <v>190</v>
      </c>
      <c r="C12" s="153">
        <v>3.07</v>
      </c>
    </row>
    <row r="13" spans="1:3" x14ac:dyDescent="0.25">
      <c r="A13" s="116">
        <v>2239</v>
      </c>
      <c r="B13" s="117" t="s">
        <v>191</v>
      </c>
      <c r="C13" s="153">
        <v>0.23</v>
      </c>
    </row>
    <row r="14" spans="1:3" x14ac:dyDescent="0.25">
      <c r="A14" s="154"/>
      <c r="B14" s="160" t="s">
        <v>39</v>
      </c>
      <c r="C14" s="159">
        <f>SUM(C11:C13)</f>
        <v>5.7100000000000009</v>
      </c>
    </row>
    <row r="15" spans="1:3" x14ac:dyDescent="0.25">
      <c r="A15" s="154"/>
      <c r="B15" s="157" t="s">
        <v>40</v>
      </c>
      <c r="C15" s="159"/>
    </row>
    <row r="16" spans="1:3" x14ac:dyDescent="0.25">
      <c r="A16" s="154"/>
      <c r="B16" s="163" t="s">
        <v>192</v>
      </c>
      <c r="C16" s="159"/>
    </row>
    <row r="17" spans="1:3" ht="94.5" x14ac:dyDescent="0.25">
      <c r="A17" s="156">
        <v>1100</v>
      </c>
      <c r="B17" s="161" t="s">
        <v>681</v>
      </c>
      <c r="C17" s="159">
        <f>ROUND((9.63*0.1),2)</f>
        <v>0.96</v>
      </c>
    </row>
    <row r="18" spans="1:3" x14ac:dyDescent="0.25">
      <c r="A18" s="156">
        <v>2341</v>
      </c>
      <c r="B18" s="157" t="s">
        <v>194</v>
      </c>
      <c r="C18" s="162">
        <v>0.38</v>
      </c>
    </row>
    <row r="19" spans="1:3" x14ac:dyDescent="0.25">
      <c r="A19" s="154"/>
      <c r="B19" s="163" t="s">
        <v>197</v>
      </c>
      <c r="C19" s="159"/>
    </row>
    <row r="20" spans="1:3" ht="94.5" x14ac:dyDescent="0.25">
      <c r="A20" s="156">
        <v>1100</v>
      </c>
      <c r="B20" s="161" t="s">
        <v>198</v>
      </c>
      <c r="C20" s="159">
        <f>ROUND((9.63*0.133),2)</f>
        <v>1.28</v>
      </c>
    </row>
    <row r="21" spans="1:3" x14ac:dyDescent="0.25">
      <c r="A21" s="154"/>
      <c r="B21" s="160" t="s">
        <v>50</v>
      </c>
      <c r="C21" s="159">
        <f>SUM(C17:C20)</f>
        <v>2.62</v>
      </c>
    </row>
    <row r="22" spans="1:3" x14ac:dyDescent="0.25">
      <c r="A22" s="155"/>
      <c r="B22" s="155" t="s">
        <v>51</v>
      </c>
      <c r="C22" s="159"/>
    </row>
    <row r="23" spans="1:3" ht="94.5" x14ac:dyDescent="0.25">
      <c r="A23" s="156">
        <v>1100</v>
      </c>
      <c r="B23" s="157" t="s">
        <v>200</v>
      </c>
      <c r="C23" s="159">
        <f>ROUND((12.97*0.083),2)</f>
        <v>1.08</v>
      </c>
    </row>
    <row r="24" spans="1:3" x14ac:dyDescent="0.25">
      <c r="A24" s="154"/>
      <c r="B24" s="160" t="s">
        <v>55</v>
      </c>
      <c r="C24" s="159">
        <f>C23</f>
        <v>1.08</v>
      </c>
    </row>
    <row r="25" spans="1:3" x14ac:dyDescent="0.25">
      <c r="A25" s="154"/>
      <c r="B25" s="160" t="s">
        <v>8</v>
      </c>
      <c r="C25" s="159">
        <f>SUM(C14,C21,C24)</f>
        <v>9.4100000000000019</v>
      </c>
    </row>
    <row r="26" spans="1:3" x14ac:dyDescent="0.25">
      <c r="A26" s="154"/>
      <c r="B26" s="153" t="s">
        <v>9</v>
      </c>
      <c r="C26" s="153" t="s">
        <v>4</v>
      </c>
    </row>
    <row r="27" spans="1:3" x14ac:dyDescent="0.25">
      <c r="A27" s="153">
        <v>1100</v>
      </c>
      <c r="B27" s="166" t="s">
        <v>10</v>
      </c>
      <c r="C27" s="153">
        <v>0.09</v>
      </c>
    </row>
    <row r="28" spans="1:3" x14ac:dyDescent="0.25">
      <c r="A28" s="129">
        <v>2210</v>
      </c>
      <c r="B28" s="167" t="s">
        <v>11</v>
      </c>
      <c r="C28" s="162">
        <v>0.02</v>
      </c>
    </row>
    <row r="29" spans="1:3" x14ac:dyDescent="0.25">
      <c r="A29" s="129">
        <v>2220</v>
      </c>
      <c r="B29" s="167" t="s">
        <v>12</v>
      </c>
      <c r="C29" s="158">
        <v>0.17</v>
      </c>
    </row>
    <row r="30" spans="1:3" x14ac:dyDescent="0.25">
      <c r="A30" s="129">
        <v>2240</v>
      </c>
      <c r="B30" s="167" t="s">
        <v>56</v>
      </c>
      <c r="C30" s="153">
        <v>0.21</v>
      </c>
    </row>
    <row r="31" spans="1:3" x14ac:dyDescent="0.25">
      <c r="A31" s="129">
        <v>2310</v>
      </c>
      <c r="B31" s="167" t="s">
        <v>15</v>
      </c>
      <c r="C31" s="158">
        <v>0.05</v>
      </c>
    </row>
    <row r="32" spans="1:3" x14ac:dyDescent="0.25">
      <c r="A32" s="162">
        <v>5200</v>
      </c>
      <c r="B32" s="168" t="s">
        <v>201</v>
      </c>
      <c r="C32" s="158">
        <v>0.05</v>
      </c>
    </row>
    <row r="33" spans="1:4" x14ac:dyDescent="0.25">
      <c r="A33" s="154"/>
      <c r="B33" s="160" t="s">
        <v>17</v>
      </c>
      <c r="C33" s="158">
        <f>SUM(C27:C32)</f>
        <v>0.59000000000000008</v>
      </c>
    </row>
    <row r="34" spans="1:4" x14ac:dyDescent="0.25">
      <c r="A34" s="153"/>
      <c r="B34" s="169" t="s">
        <v>18</v>
      </c>
      <c r="C34" s="158">
        <f>SUM(C25,C33)</f>
        <v>10.000000000000002</v>
      </c>
      <c r="D34" s="171"/>
    </row>
    <row r="35" spans="1:4" x14ac:dyDescent="0.25">
      <c r="A35" s="257" t="s">
        <v>19</v>
      </c>
      <c r="B35" s="257"/>
      <c r="C35" s="162">
        <v>1</v>
      </c>
    </row>
    <row r="36" spans="1:4" x14ac:dyDescent="0.25">
      <c r="A36" s="257" t="s">
        <v>528</v>
      </c>
      <c r="B36" s="257"/>
      <c r="C36" s="159">
        <f>C34</f>
        <v>10.000000000000002</v>
      </c>
    </row>
    <row r="37" spans="1:4" x14ac:dyDescent="0.25">
      <c r="A37" s="257" t="s">
        <v>21</v>
      </c>
      <c r="B37" s="257"/>
      <c r="C37" s="162">
        <v>74</v>
      </c>
    </row>
    <row r="38" spans="1:4" x14ac:dyDescent="0.25">
      <c r="A38" s="257" t="s">
        <v>529</v>
      </c>
      <c r="B38" s="257"/>
      <c r="C38" s="159">
        <f>C37*C36</f>
        <v>740.00000000000011</v>
      </c>
    </row>
  </sheetData>
  <mergeCells count="5">
    <mergeCell ref="B2:C2"/>
    <mergeCell ref="A35:B35"/>
    <mergeCell ref="A36:B36"/>
    <mergeCell ref="A37:B37"/>
    <mergeCell ref="A38:B3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7CB2-ECF8-4F26-A793-327ADC7118A5}">
  <sheetPr>
    <tabColor theme="9" tint="0.79998168889431442"/>
  </sheetPr>
  <dimension ref="A1:C36"/>
  <sheetViews>
    <sheetView zoomScale="70" zoomScaleNormal="70" workbookViewId="0">
      <selection sqref="A1:C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207</v>
      </c>
      <c r="C2" s="252"/>
    </row>
    <row r="3" spans="1:3" ht="15.75" x14ac:dyDescent="0.25">
      <c r="A3" s="29"/>
      <c r="B3" s="32" t="s">
        <v>208</v>
      </c>
      <c r="C3" s="32"/>
    </row>
    <row r="4" spans="1:3" ht="15.75" x14ac:dyDescent="0.25">
      <c r="A4" s="31" t="s">
        <v>71</v>
      </c>
      <c r="B4" s="32" t="s">
        <v>203</v>
      </c>
      <c r="C4" s="32"/>
    </row>
    <row r="5" spans="1:3" ht="15.75" x14ac:dyDescent="0.25">
      <c r="A5" s="29"/>
      <c r="B5" s="29"/>
      <c r="C5" s="30"/>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3.3</v>
      </c>
    </row>
    <row r="13" spans="1:3" ht="15.75" x14ac:dyDescent="0.25">
      <c r="A13" s="116">
        <v>2239</v>
      </c>
      <c r="B13" s="117" t="s">
        <v>191</v>
      </c>
      <c r="C13" s="112">
        <v>0.23</v>
      </c>
    </row>
    <row r="14" spans="1:3" ht="15.75" x14ac:dyDescent="0.25">
      <c r="A14" s="113"/>
      <c r="B14" s="118" t="s">
        <v>39</v>
      </c>
      <c r="C14" s="119">
        <f>SUM(C11:C13)</f>
        <v>5.94</v>
      </c>
    </row>
    <row r="15" spans="1:3" ht="15.75" x14ac:dyDescent="0.25">
      <c r="A15" s="113"/>
      <c r="B15" s="94" t="s">
        <v>40</v>
      </c>
      <c r="C15" s="119"/>
    </row>
    <row r="16" spans="1:3" ht="15.75" x14ac:dyDescent="0.25">
      <c r="A16" s="113"/>
      <c r="B16" s="121" t="s">
        <v>78</v>
      </c>
      <c r="C16" s="119"/>
    </row>
    <row r="17" spans="1:3" ht="94.5" x14ac:dyDescent="0.25">
      <c r="A17" s="93">
        <v>1100</v>
      </c>
      <c r="B17" s="114" t="s">
        <v>209</v>
      </c>
      <c r="C17" s="119">
        <f>ROUND((9.63*0.333),2)</f>
        <v>3.21</v>
      </c>
    </row>
    <row r="18" spans="1:3" ht="15.75" x14ac:dyDescent="0.25">
      <c r="A18" s="93">
        <v>2341</v>
      </c>
      <c r="B18" s="94" t="s">
        <v>194</v>
      </c>
      <c r="C18" s="119">
        <v>2.4900000000000002</v>
      </c>
    </row>
    <row r="19" spans="1:3" ht="15.75" x14ac:dyDescent="0.25">
      <c r="A19" s="113"/>
      <c r="B19" s="118" t="s">
        <v>50</v>
      </c>
      <c r="C19" s="119">
        <f>SUM(C17:C18)</f>
        <v>5.7</v>
      </c>
    </row>
    <row r="20" spans="1:3" ht="15.75" x14ac:dyDescent="0.25">
      <c r="A20" s="123"/>
      <c r="B20" s="123" t="s">
        <v>51</v>
      </c>
      <c r="C20" s="119"/>
    </row>
    <row r="21" spans="1:3" ht="94.5" x14ac:dyDescent="0.25">
      <c r="A21" s="93">
        <v>1100</v>
      </c>
      <c r="B21" s="94" t="s">
        <v>200</v>
      </c>
      <c r="C21" s="119">
        <f>ROUND((12.97*0.083),2)</f>
        <v>1.08</v>
      </c>
    </row>
    <row r="22" spans="1:3" ht="15.75" x14ac:dyDescent="0.25">
      <c r="A22" s="113"/>
      <c r="B22" s="118" t="s">
        <v>55</v>
      </c>
      <c r="C22" s="119">
        <f>C21</f>
        <v>1.08</v>
      </c>
    </row>
    <row r="23" spans="1:3" ht="15.75" x14ac:dyDescent="0.25">
      <c r="A23" s="113"/>
      <c r="B23" s="118" t="s">
        <v>8</v>
      </c>
      <c r="C23" s="119">
        <f>SUM(C14,C19,C22)</f>
        <v>12.72</v>
      </c>
    </row>
    <row r="24" spans="1:3" ht="15.75" x14ac:dyDescent="0.25">
      <c r="A24" s="113"/>
      <c r="B24" s="112" t="s">
        <v>9</v>
      </c>
      <c r="C24" s="115" t="s">
        <v>4</v>
      </c>
    </row>
    <row r="25" spans="1:3" ht="15.75" x14ac:dyDescent="0.25">
      <c r="A25" s="112">
        <v>1100</v>
      </c>
      <c r="B25" s="124" t="s">
        <v>10</v>
      </c>
      <c r="C25" s="115">
        <v>0.12</v>
      </c>
    </row>
    <row r="26" spans="1:3" ht="15.75" x14ac:dyDescent="0.25">
      <c r="A26" s="125">
        <v>2210</v>
      </c>
      <c r="B26" s="126" t="s">
        <v>11</v>
      </c>
      <c r="C26" s="119">
        <v>0.04</v>
      </c>
    </row>
    <row r="27" spans="1:3" ht="15.75" x14ac:dyDescent="0.25">
      <c r="A27" s="125">
        <v>2220</v>
      </c>
      <c r="B27" s="126" t="s">
        <v>12</v>
      </c>
      <c r="C27" s="115">
        <v>0.16</v>
      </c>
    </row>
    <row r="28" spans="1:3" ht="15.75" x14ac:dyDescent="0.25">
      <c r="A28" s="125">
        <v>2240</v>
      </c>
      <c r="B28" s="126" t="s">
        <v>56</v>
      </c>
      <c r="C28" s="112">
        <v>0.42</v>
      </c>
    </row>
    <row r="29" spans="1:3" ht="15.75" x14ac:dyDescent="0.25">
      <c r="A29" s="125">
        <v>2310</v>
      </c>
      <c r="B29" s="126" t="s">
        <v>15</v>
      </c>
      <c r="C29" s="115">
        <v>0.08</v>
      </c>
    </row>
    <row r="30" spans="1:3" ht="15.75" x14ac:dyDescent="0.25">
      <c r="A30" s="120">
        <v>5200</v>
      </c>
      <c r="B30" s="127" t="s">
        <v>201</v>
      </c>
      <c r="C30" s="115">
        <v>0.08</v>
      </c>
    </row>
    <row r="31" spans="1:3" ht="15.75" x14ac:dyDescent="0.25">
      <c r="A31" s="113"/>
      <c r="B31" s="118" t="s">
        <v>17</v>
      </c>
      <c r="C31" s="115">
        <f>SUM(C25:C30)</f>
        <v>0.89999999999999991</v>
      </c>
    </row>
    <row r="32" spans="1:3" ht="15.75" x14ac:dyDescent="0.25">
      <c r="A32" s="112"/>
      <c r="B32" s="128" t="s">
        <v>18</v>
      </c>
      <c r="C32" s="115">
        <f>SUM(C23,C31)</f>
        <v>13.620000000000001</v>
      </c>
    </row>
    <row r="33" spans="1:3" ht="15.75" x14ac:dyDescent="0.25">
      <c r="A33" s="258" t="s">
        <v>19</v>
      </c>
      <c r="B33" s="258"/>
      <c r="C33" s="120">
        <v>1</v>
      </c>
    </row>
    <row r="34" spans="1:3" ht="15.75" x14ac:dyDescent="0.25">
      <c r="A34" s="258" t="s">
        <v>20</v>
      </c>
      <c r="B34" s="258"/>
      <c r="C34" s="119">
        <f>C32</f>
        <v>13.620000000000001</v>
      </c>
    </row>
    <row r="35" spans="1:3" ht="15.75" x14ac:dyDescent="0.25">
      <c r="A35" s="258" t="s">
        <v>21</v>
      </c>
      <c r="B35" s="258"/>
      <c r="C35" s="120">
        <v>492</v>
      </c>
    </row>
    <row r="36" spans="1:3" ht="15.75" x14ac:dyDescent="0.25">
      <c r="A36" s="258" t="s">
        <v>22</v>
      </c>
      <c r="B36" s="258"/>
      <c r="C36" s="119">
        <f>C35*C34</f>
        <v>6701.0400000000009</v>
      </c>
    </row>
  </sheetData>
  <mergeCells count="5">
    <mergeCell ref="B2:C2"/>
    <mergeCell ref="A33:B33"/>
    <mergeCell ref="A34:B34"/>
    <mergeCell ref="A35:B35"/>
    <mergeCell ref="A36:B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8EE93-4D99-446B-9250-E4122C75C288}">
  <sheetPr>
    <tabColor theme="9" tint="0.79998168889431442"/>
  </sheetPr>
  <dimension ref="A1:D36"/>
  <sheetViews>
    <sheetView zoomScale="85" zoomScaleNormal="85" workbookViewId="0">
      <selection activeCell="A2" sqref="A2"/>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207</v>
      </c>
      <c r="C2" s="254"/>
    </row>
    <row r="3" spans="1:3" x14ac:dyDescent="0.25">
      <c r="A3" s="149"/>
      <c r="B3" s="152" t="s">
        <v>549</v>
      </c>
      <c r="C3" s="152"/>
    </row>
    <row r="4" spans="1:3" x14ac:dyDescent="0.25">
      <c r="A4" s="151" t="s">
        <v>71</v>
      </c>
      <c r="B4" s="152" t="s">
        <v>203</v>
      </c>
      <c r="C4" s="152"/>
    </row>
    <row r="7" spans="1:3" ht="63" x14ac:dyDescent="0.25">
      <c r="A7" s="153" t="s">
        <v>0</v>
      </c>
      <c r="B7" s="153" t="s">
        <v>1</v>
      </c>
      <c r="C7" s="153" t="s">
        <v>2</v>
      </c>
    </row>
    <row r="8" spans="1:3" x14ac:dyDescent="0.25">
      <c r="A8" s="153">
        <v>1</v>
      </c>
      <c r="B8" s="153">
        <v>2</v>
      </c>
      <c r="C8" s="153">
        <v>3</v>
      </c>
    </row>
    <row r="9" spans="1:3" x14ac:dyDescent="0.25">
      <c r="A9" s="154"/>
      <c r="B9" s="153" t="s">
        <v>3</v>
      </c>
      <c r="C9" s="153" t="s">
        <v>4</v>
      </c>
    </row>
    <row r="10" spans="1:3" x14ac:dyDescent="0.25">
      <c r="A10" s="154"/>
      <c r="B10" s="157" t="s">
        <v>188</v>
      </c>
      <c r="C10" s="153"/>
    </row>
    <row r="11" spans="1:3" ht="94.5" x14ac:dyDescent="0.25">
      <c r="A11" s="156">
        <v>1100</v>
      </c>
      <c r="B11" s="161" t="s">
        <v>679</v>
      </c>
      <c r="C11" s="158">
        <f>ROUND((9.63*0.1),2)</f>
        <v>0.96</v>
      </c>
    </row>
    <row r="12" spans="1:3" x14ac:dyDescent="0.25">
      <c r="A12" s="156">
        <v>2341</v>
      </c>
      <c r="B12" s="161" t="s">
        <v>190</v>
      </c>
      <c r="C12" s="153">
        <v>0.76</v>
      </c>
    </row>
    <row r="13" spans="1:3" x14ac:dyDescent="0.25">
      <c r="A13" s="116">
        <v>2239</v>
      </c>
      <c r="B13" s="117" t="s">
        <v>191</v>
      </c>
      <c r="C13" s="153">
        <v>0.23</v>
      </c>
    </row>
    <row r="14" spans="1:3" x14ac:dyDescent="0.25">
      <c r="A14" s="154"/>
      <c r="B14" s="160" t="s">
        <v>39</v>
      </c>
      <c r="C14" s="159">
        <f>SUM(C11:C13)</f>
        <v>1.95</v>
      </c>
    </row>
    <row r="15" spans="1:3" x14ac:dyDescent="0.25">
      <c r="A15" s="154"/>
      <c r="B15" s="157" t="s">
        <v>40</v>
      </c>
      <c r="C15" s="159"/>
    </row>
    <row r="16" spans="1:3" x14ac:dyDescent="0.25">
      <c r="A16" s="154"/>
      <c r="B16" s="163" t="s">
        <v>78</v>
      </c>
      <c r="C16" s="159"/>
    </row>
    <row r="17" spans="1:4" ht="94.5" x14ac:dyDescent="0.25">
      <c r="A17" s="156">
        <v>1100</v>
      </c>
      <c r="B17" s="161" t="s">
        <v>680</v>
      </c>
      <c r="C17" s="159">
        <v>0.86</v>
      </c>
    </row>
    <row r="18" spans="1:4" x14ac:dyDescent="0.25">
      <c r="A18" s="156">
        <v>2341</v>
      </c>
      <c r="B18" s="157" t="s">
        <v>194</v>
      </c>
      <c r="C18" s="159">
        <v>2.4900000000000002</v>
      </c>
    </row>
    <row r="19" spans="1:4" x14ac:dyDescent="0.25">
      <c r="A19" s="154"/>
      <c r="B19" s="160" t="s">
        <v>50</v>
      </c>
      <c r="C19" s="159">
        <f>SUM(C17:C18)</f>
        <v>3.35</v>
      </c>
    </row>
    <row r="20" spans="1:4" x14ac:dyDescent="0.25">
      <c r="A20" s="155"/>
      <c r="B20" s="155" t="s">
        <v>51</v>
      </c>
      <c r="C20" s="159"/>
    </row>
    <row r="21" spans="1:4" ht="94.5" x14ac:dyDescent="0.25">
      <c r="A21" s="156">
        <v>1100</v>
      </c>
      <c r="B21" s="157" t="s">
        <v>200</v>
      </c>
      <c r="C21" s="159">
        <f>ROUND((12.97*0.083),2)</f>
        <v>1.08</v>
      </c>
    </row>
    <row r="22" spans="1:4" x14ac:dyDescent="0.25">
      <c r="A22" s="154"/>
      <c r="B22" s="160" t="s">
        <v>55</v>
      </c>
      <c r="C22" s="159">
        <f>C21</f>
        <v>1.08</v>
      </c>
    </row>
    <row r="23" spans="1:4" x14ac:dyDescent="0.25">
      <c r="A23" s="154"/>
      <c r="B23" s="160" t="s">
        <v>8</v>
      </c>
      <c r="C23" s="159">
        <f>SUM(C14,C19,C22)</f>
        <v>6.38</v>
      </c>
    </row>
    <row r="24" spans="1:4" x14ac:dyDescent="0.25">
      <c r="A24" s="154"/>
      <c r="B24" s="153" t="s">
        <v>9</v>
      </c>
      <c r="C24" s="158" t="s">
        <v>4</v>
      </c>
    </row>
    <row r="25" spans="1:4" x14ac:dyDescent="0.25">
      <c r="A25" s="153">
        <v>1100</v>
      </c>
      <c r="B25" s="166" t="s">
        <v>10</v>
      </c>
      <c r="C25" s="158">
        <v>0.05</v>
      </c>
    </row>
    <row r="26" spans="1:4" x14ac:dyDescent="0.25">
      <c r="A26" s="129">
        <v>2210</v>
      </c>
      <c r="B26" s="167" t="s">
        <v>11</v>
      </c>
      <c r="C26" s="159">
        <v>0.02</v>
      </c>
    </row>
    <row r="27" spans="1:4" ht="15.6" customHeight="1" x14ac:dyDescent="0.25">
      <c r="A27" s="129">
        <v>2220</v>
      </c>
      <c r="B27" s="167" t="s">
        <v>12</v>
      </c>
      <c r="C27" s="158">
        <v>0</v>
      </c>
    </row>
    <row r="28" spans="1:4" ht="15.6" customHeight="1" x14ac:dyDescent="0.25">
      <c r="A28" s="129">
        <v>2240</v>
      </c>
      <c r="B28" s="167" t="s">
        <v>56</v>
      </c>
      <c r="C28" s="153">
        <v>0.26</v>
      </c>
    </row>
    <row r="29" spans="1:4" ht="15.6" customHeight="1" x14ac:dyDescent="0.25">
      <c r="A29" s="129">
        <v>2310</v>
      </c>
      <c r="B29" s="167" t="s">
        <v>15</v>
      </c>
      <c r="C29" s="158">
        <v>0.05</v>
      </c>
    </row>
    <row r="30" spans="1:4" ht="15.6" customHeight="1" x14ac:dyDescent="0.25">
      <c r="A30" s="162">
        <v>5200</v>
      </c>
      <c r="B30" s="168" t="s">
        <v>201</v>
      </c>
      <c r="C30" s="158">
        <v>0.05</v>
      </c>
    </row>
    <row r="31" spans="1:4" x14ac:dyDescent="0.25">
      <c r="A31" s="154"/>
      <c r="B31" s="160" t="s">
        <v>17</v>
      </c>
      <c r="C31" s="158">
        <f>SUM(C25:C30)</f>
        <v>0.43</v>
      </c>
    </row>
    <row r="32" spans="1:4" x14ac:dyDescent="0.25">
      <c r="A32" s="153"/>
      <c r="B32" s="169" t="s">
        <v>18</v>
      </c>
      <c r="C32" s="158">
        <f>SUM(C23,C31)</f>
        <v>6.81</v>
      </c>
      <c r="D32" s="171"/>
    </row>
    <row r="33" spans="1:3" x14ac:dyDescent="0.25">
      <c r="A33" s="257" t="s">
        <v>19</v>
      </c>
      <c r="B33" s="257"/>
      <c r="C33" s="162">
        <v>1</v>
      </c>
    </row>
    <row r="34" spans="1:3" x14ac:dyDescent="0.25">
      <c r="A34" s="257" t="s">
        <v>528</v>
      </c>
      <c r="B34" s="257"/>
      <c r="C34" s="159">
        <f>C32</f>
        <v>6.81</v>
      </c>
    </row>
    <row r="35" spans="1:3" x14ac:dyDescent="0.25">
      <c r="A35" s="257" t="s">
        <v>21</v>
      </c>
      <c r="B35" s="257"/>
      <c r="C35" s="162">
        <v>492</v>
      </c>
    </row>
    <row r="36" spans="1:3" x14ac:dyDescent="0.25">
      <c r="A36" s="257" t="s">
        <v>529</v>
      </c>
      <c r="B36" s="257"/>
      <c r="C36" s="159">
        <f>C35*C34</f>
        <v>3350.52</v>
      </c>
    </row>
  </sheetData>
  <mergeCells count="5">
    <mergeCell ref="A34:B34"/>
    <mergeCell ref="A35:B35"/>
    <mergeCell ref="A36:B36"/>
    <mergeCell ref="B2:C2"/>
    <mergeCell ref="A33:B3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AF78-71C6-4E46-B3B3-26835242879E}">
  <sheetPr>
    <tabColor theme="9" tint="0.79998168889431442"/>
  </sheetPr>
  <dimension ref="A1:C36"/>
  <sheetViews>
    <sheetView topLeftCell="A8" zoomScale="70" zoomScaleNormal="70" workbookViewId="0">
      <selection activeCell="A14" sqref="A1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29"/>
      <c r="B3" s="32" t="s">
        <v>210</v>
      </c>
      <c r="C3" s="32"/>
    </row>
    <row r="4" spans="1:3" ht="15.75" x14ac:dyDescent="0.25">
      <c r="A4" s="31" t="s">
        <v>71</v>
      </c>
      <c r="B4" s="32" t="s">
        <v>203</v>
      </c>
      <c r="C4" s="32"/>
    </row>
    <row r="5" spans="1:3" ht="15.75" x14ac:dyDescent="0.25">
      <c r="A5" s="31"/>
      <c r="B5" s="32"/>
      <c r="C5" s="32"/>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3.3</v>
      </c>
    </row>
    <row r="13" spans="1:3" ht="15.75" x14ac:dyDescent="0.25">
      <c r="A13" s="129">
        <v>2239</v>
      </c>
      <c r="B13" s="117" t="s">
        <v>191</v>
      </c>
      <c r="C13" s="112">
        <v>0.23</v>
      </c>
    </row>
    <row r="14" spans="1:3" ht="15.75" x14ac:dyDescent="0.25">
      <c r="A14" s="113"/>
      <c r="B14" s="118" t="s">
        <v>39</v>
      </c>
      <c r="C14" s="119">
        <f>SUM(C11:C13)</f>
        <v>5.94</v>
      </c>
    </row>
    <row r="15" spans="1:3" ht="15.75" x14ac:dyDescent="0.25">
      <c r="A15" s="113"/>
      <c r="B15" s="94" t="s">
        <v>40</v>
      </c>
      <c r="C15" s="119"/>
    </row>
    <row r="16" spans="1:3" ht="15.75" x14ac:dyDescent="0.25">
      <c r="A16" s="113"/>
      <c r="B16" s="121" t="s">
        <v>211</v>
      </c>
      <c r="C16" s="119"/>
    </row>
    <row r="17" spans="1:3" ht="94.5" x14ac:dyDescent="0.25">
      <c r="A17" s="93">
        <v>1100</v>
      </c>
      <c r="B17" s="114" t="s">
        <v>212</v>
      </c>
      <c r="C17" s="115">
        <f>ROUND((9.63*0.167),2)</f>
        <v>1.61</v>
      </c>
    </row>
    <row r="18" spans="1:3" ht="15.75" x14ac:dyDescent="0.25">
      <c r="A18" s="93">
        <v>2341</v>
      </c>
      <c r="B18" s="94" t="s">
        <v>213</v>
      </c>
      <c r="C18" s="119">
        <v>0.01</v>
      </c>
    </row>
    <row r="19" spans="1:3" ht="15.75" x14ac:dyDescent="0.25">
      <c r="A19" s="113"/>
      <c r="B19" s="118" t="s">
        <v>50</v>
      </c>
      <c r="C19" s="119">
        <f>SUM(C17:C18)</f>
        <v>1.62</v>
      </c>
    </row>
    <row r="20" spans="1:3" ht="15.75" x14ac:dyDescent="0.25">
      <c r="A20" s="123"/>
      <c r="B20" s="123" t="s">
        <v>51</v>
      </c>
      <c r="C20" s="119"/>
    </row>
    <row r="21" spans="1:3" ht="94.5" x14ac:dyDescent="0.25">
      <c r="A21" s="93">
        <v>1100</v>
      </c>
      <c r="B21" s="94" t="s">
        <v>200</v>
      </c>
      <c r="C21" s="119">
        <f>ROUND((12.97*0.083),2)</f>
        <v>1.08</v>
      </c>
    </row>
    <row r="22" spans="1:3" ht="15.75" x14ac:dyDescent="0.25">
      <c r="A22" s="113"/>
      <c r="B22" s="118" t="s">
        <v>55</v>
      </c>
      <c r="C22" s="119">
        <f>C21</f>
        <v>1.08</v>
      </c>
    </row>
    <row r="23" spans="1:3" ht="15.75" x14ac:dyDescent="0.25">
      <c r="A23" s="113"/>
      <c r="B23" s="118" t="s">
        <v>8</v>
      </c>
      <c r="C23" s="119">
        <f>SUM(C14,C19,C22)</f>
        <v>8.64</v>
      </c>
    </row>
    <row r="24" spans="1:3" ht="15.75" x14ac:dyDescent="0.25">
      <c r="A24" s="113"/>
      <c r="B24" s="112" t="s">
        <v>9</v>
      </c>
      <c r="C24" s="115" t="s">
        <v>4</v>
      </c>
    </row>
    <row r="25" spans="1:3" ht="15.75" x14ac:dyDescent="0.25">
      <c r="A25" s="112">
        <v>1100</v>
      </c>
      <c r="B25" s="124" t="s">
        <v>10</v>
      </c>
      <c r="C25" s="115">
        <v>0.08</v>
      </c>
    </row>
    <row r="26" spans="1:3" ht="15.75" x14ac:dyDescent="0.25">
      <c r="A26" s="125">
        <v>2210</v>
      </c>
      <c r="B26" s="126" t="s">
        <v>11</v>
      </c>
      <c r="C26" s="119">
        <v>0.03</v>
      </c>
    </row>
    <row r="27" spans="1:3" ht="15.75" x14ac:dyDescent="0.25">
      <c r="A27" s="125">
        <v>2220</v>
      </c>
      <c r="B27" s="126" t="s">
        <v>12</v>
      </c>
      <c r="C27" s="115">
        <v>0.11</v>
      </c>
    </row>
    <row r="28" spans="1:3" ht="15.75" x14ac:dyDescent="0.25">
      <c r="A28" s="125">
        <v>2240</v>
      </c>
      <c r="B28" s="126" t="s">
        <v>56</v>
      </c>
      <c r="C28" s="115">
        <v>0.28000000000000003</v>
      </c>
    </row>
    <row r="29" spans="1:3" ht="15.75" x14ac:dyDescent="0.25">
      <c r="A29" s="125">
        <v>2310</v>
      </c>
      <c r="B29" s="126" t="s">
        <v>15</v>
      </c>
      <c r="C29" s="115">
        <v>0.05</v>
      </c>
    </row>
    <row r="30" spans="1:3" ht="15.75" x14ac:dyDescent="0.25">
      <c r="A30" s="120">
        <v>5200</v>
      </c>
      <c r="B30" s="127" t="s">
        <v>201</v>
      </c>
      <c r="C30" s="115">
        <v>0.05</v>
      </c>
    </row>
    <row r="31" spans="1:3" ht="15.75" x14ac:dyDescent="0.25">
      <c r="A31" s="113"/>
      <c r="B31" s="118" t="s">
        <v>17</v>
      </c>
      <c r="C31" s="115">
        <f>SUM(C25:C30)</f>
        <v>0.60000000000000009</v>
      </c>
    </row>
    <row r="32" spans="1:3" ht="15.75" x14ac:dyDescent="0.25">
      <c r="A32" s="112"/>
      <c r="B32" s="128" t="s">
        <v>18</v>
      </c>
      <c r="C32" s="115">
        <f>SUM(C23,C31)</f>
        <v>9.24</v>
      </c>
    </row>
    <row r="33" spans="1:3" ht="15.75" x14ac:dyDescent="0.25">
      <c r="A33" s="258" t="s">
        <v>19</v>
      </c>
      <c r="B33" s="258"/>
      <c r="C33" s="120">
        <v>1</v>
      </c>
    </row>
    <row r="34" spans="1:3" ht="15.75" x14ac:dyDescent="0.25">
      <c r="A34" s="258" t="s">
        <v>20</v>
      </c>
      <c r="B34" s="258"/>
      <c r="C34" s="119">
        <f>C32</f>
        <v>9.24</v>
      </c>
    </row>
    <row r="35" spans="1:3" ht="15.75" x14ac:dyDescent="0.25">
      <c r="A35" s="258" t="s">
        <v>21</v>
      </c>
      <c r="B35" s="258"/>
      <c r="C35" s="120">
        <v>27</v>
      </c>
    </row>
    <row r="36" spans="1:3" ht="15.75" x14ac:dyDescent="0.25">
      <c r="A36" s="258" t="s">
        <v>22</v>
      </c>
      <c r="B36" s="258"/>
      <c r="C36" s="119">
        <f>C35*C34</f>
        <v>249.48000000000002</v>
      </c>
    </row>
  </sheetData>
  <mergeCells count="5">
    <mergeCell ref="B2:C2"/>
    <mergeCell ref="A33:B33"/>
    <mergeCell ref="A34:B34"/>
    <mergeCell ref="A35:B35"/>
    <mergeCell ref="A36:B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DF67-EF19-4D69-84D9-352FF13D5A1A}">
  <sheetPr>
    <tabColor theme="9" tint="0.79998168889431442"/>
  </sheetPr>
  <dimension ref="A1:C36"/>
  <sheetViews>
    <sheetView topLeftCell="A7" zoomScale="70" zoomScaleNormal="70" workbookViewId="0">
      <selection sqref="A1:C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29"/>
      <c r="B3" s="32" t="s">
        <v>214</v>
      </c>
      <c r="C3" s="32"/>
    </row>
    <row r="4" spans="1:3" ht="15.75" x14ac:dyDescent="0.25">
      <c r="A4" s="31" t="s">
        <v>71</v>
      </c>
      <c r="B4" s="32" t="s">
        <v>203</v>
      </c>
      <c r="C4" s="32"/>
    </row>
    <row r="5" spans="1:3" ht="15.75" x14ac:dyDescent="0.25">
      <c r="A5" s="29"/>
      <c r="B5" s="29"/>
      <c r="C5" s="30"/>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3.3</v>
      </c>
    </row>
    <row r="13" spans="1:3" ht="15.75" x14ac:dyDescent="0.25">
      <c r="A13" s="129">
        <v>2239</v>
      </c>
      <c r="B13" s="117" t="s">
        <v>191</v>
      </c>
      <c r="C13" s="112">
        <v>0.23</v>
      </c>
    </row>
    <row r="14" spans="1:3" ht="15.75" x14ac:dyDescent="0.25">
      <c r="A14" s="113"/>
      <c r="B14" s="118" t="s">
        <v>39</v>
      </c>
      <c r="C14" s="119">
        <f>SUM(C11:C13)</f>
        <v>5.94</v>
      </c>
    </row>
    <row r="15" spans="1:3" ht="15.75" x14ac:dyDescent="0.25">
      <c r="A15" s="113"/>
      <c r="B15" s="94" t="s">
        <v>40</v>
      </c>
      <c r="C15" s="119"/>
    </row>
    <row r="16" spans="1:3" ht="15.75" x14ac:dyDescent="0.25">
      <c r="A16" s="113"/>
      <c r="B16" s="121" t="s">
        <v>215</v>
      </c>
      <c r="C16" s="119"/>
    </row>
    <row r="17" spans="1:3" ht="94.5" x14ac:dyDescent="0.25">
      <c r="A17" s="93">
        <v>1100</v>
      </c>
      <c r="B17" s="114" t="s">
        <v>216</v>
      </c>
      <c r="C17" s="115">
        <f>ROUND((9.63*1.667),2)</f>
        <v>16.05</v>
      </c>
    </row>
    <row r="18" spans="1:3" ht="15.75" x14ac:dyDescent="0.25">
      <c r="A18" s="93">
        <v>2341</v>
      </c>
      <c r="B18" s="94" t="s">
        <v>217</v>
      </c>
      <c r="C18" s="119">
        <v>2.4500000000000002</v>
      </c>
    </row>
    <row r="19" spans="1:3" ht="15.75" x14ac:dyDescent="0.25">
      <c r="A19" s="113"/>
      <c r="B19" s="118" t="s">
        <v>50</v>
      </c>
      <c r="C19" s="119">
        <f>SUM(C17:C18)</f>
        <v>18.5</v>
      </c>
    </row>
    <row r="20" spans="1:3" ht="15.75" x14ac:dyDescent="0.25">
      <c r="A20" s="123"/>
      <c r="B20" s="123" t="s">
        <v>51</v>
      </c>
      <c r="C20" s="119"/>
    </row>
    <row r="21" spans="1:3" ht="94.5" x14ac:dyDescent="0.25">
      <c r="A21" s="93">
        <v>1100</v>
      </c>
      <c r="B21" s="94" t="s">
        <v>200</v>
      </c>
      <c r="C21" s="119">
        <f>ROUND((12.97*0.083),2)</f>
        <v>1.08</v>
      </c>
    </row>
    <row r="22" spans="1:3" ht="15.75" x14ac:dyDescent="0.25">
      <c r="A22" s="113"/>
      <c r="B22" s="118" t="s">
        <v>55</v>
      </c>
      <c r="C22" s="119">
        <f>C21</f>
        <v>1.08</v>
      </c>
    </row>
    <row r="23" spans="1:3" ht="15.75" x14ac:dyDescent="0.25">
      <c r="A23" s="113"/>
      <c r="B23" s="118" t="s">
        <v>8</v>
      </c>
      <c r="C23" s="119">
        <f>SUM(C14,C19,C22)</f>
        <v>25.520000000000003</v>
      </c>
    </row>
    <row r="24" spans="1:3" ht="15.75" x14ac:dyDescent="0.25">
      <c r="A24" s="113"/>
      <c r="B24" s="112" t="s">
        <v>9</v>
      </c>
      <c r="C24" s="115" t="s">
        <v>4</v>
      </c>
    </row>
    <row r="25" spans="1:3" ht="15.75" x14ac:dyDescent="0.25">
      <c r="A25" s="112">
        <v>1100</v>
      </c>
      <c r="B25" s="124" t="s">
        <v>10</v>
      </c>
      <c r="C25" s="115">
        <v>0.24</v>
      </c>
    </row>
    <row r="26" spans="1:3" ht="15.75" x14ac:dyDescent="0.25">
      <c r="A26" s="125">
        <v>2210</v>
      </c>
      <c r="B26" s="126" t="s">
        <v>11</v>
      </c>
      <c r="C26" s="119">
        <v>0.08</v>
      </c>
    </row>
    <row r="27" spans="1:3" ht="15.75" x14ac:dyDescent="0.25">
      <c r="A27" s="125">
        <v>2220</v>
      </c>
      <c r="B27" s="126" t="s">
        <v>12</v>
      </c>
      <c r="C27" s="115">
        <v>0.32</v>
      </c>
    </row>
    <row r="28" spans="1:3" ht="15.75" x14ac:dyDescent="0.25">
      <c r="A28" s="125">
        <v>2240</v>
      </c>
      <c r="B28" s="126" t="s">
        <v>56</v>
      </c>
      <c r="C28" s="115">
        <v>0.84</v>
      </c>
    </row>
    <row r="29" spans="1:3" ht="15.75" x14ac:dyDescent="0.25">
      <c r="A29" s="125">
        <v>2310</v>
      </c>
      <c r="B29" s="126" t="s">
        <v>15</v>
      </c>
      <c r="C29" s="115">
        <v>0.15</v>
      </c>
    </row>
    <row r="30" spans="1:3" ht="15.75" x14ac:dyDescent="0.25">
      <c r="A30" s="120">
        <v>5200</v>
      </c>
      <c r="B30" s="127" t="s">
        <v>201</v>
      </c>
      <c r="C30" s="115">
        <v>0.16</v>
      </c>
    </row>
    <row r="31" spans="1:3" ht="15.75" x14ac:dyDescent="0.25">
      <c r="A31" s="113"/>
      <c r="B31" s="118" t="s">
        <v>17</v>
      </c>
      <c r="C31" s="115">
        <f>SUM(C25:C30)</f>
        <v>1.7899999999999998</v>
      </c>
    </row>
    <row r="32" spans="1:3" ht="15.75" x14ac:dyDescent="0.25">
      <c r="A32" s="112"/>
      <c r="B32" s="128" t="s">
        <v>18</v>
      </c>
      <c r="C32" s="115">
        <f>SUM(C23,C31)</f>
        <v>27.310000000000002</v>
      </c>
    </row>
    <row r="33" spans="1:3" ht="15.75" x14ac:dyDescent="0.25">
      <c r="A33" s="261" t="s">
        <v>19</v>
      </c>
      <c r="B33" s="262"/>
      <c r="C33" s="120">
        <v>1</v>
      </c>
    </row>
    <row r="34" spans="1:3" ht="15.75" x14ac:dyDescent="0.25">
      <c r="A34" s="261" t="s">
        <v>20</v>
      </c>
      <c r="B34" s="262"/>
      <c r="C34" s="119">
        <f>C32</f>
        <v>27.310000000000002</v>
      </c>
    </row>
    <row r="35" spans="1:3" ht="15.75" x14ac:dyDescent="0.25">
      <c r="A35" s="261" t="s">
        <v>21</v>
      </c>
      <c r="B35" s="262"/>
      <c r="C35" s="120">
        <v>707</v>
      </c>
    </row>
    <row r="36" spans="1:3" ht="15.75" x14ac:dyDescent="0.25">
      <c r="A36" s="261" t="s">
        <v>22</v>
      </c>
      <c r="B36" s="262"/>
      <c r="C36" s="119">
        <f>C35*C34</f>
        <v>19308.170000000002</v>
      </c>
    </row>
  </sheetData>
  <mergeCells count="5">
    <mergeCell ref="B2:C2"/>
    <mergeCell ref="A33:B33"/>
    <mergeCell ref="A34:B34"/>
    <mergeCell ref="A35:B35"/>
    <mergeCell ref="A36:B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8B86-FCEB-4D7F-A89D-B20F240E223C}">
  <sheetPr>
    <tabColor theme="9" tint="0.79998168889431442"/>
  </sheetPr>
  <dimension ref="A1:C36"/>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185</v>
      </c>
      <c r="C2" s="252"/>
    </row>
    <row r="3" spans="1:3" ht="15.75" x14ac:dyDescent="0.25">
      <c r="A3" s="29"/>
      <c r="B3" s="32" t="s">
        <v>218</v>
      </c>
      <c r="C3" s="32"/>
    </row>
    <row r="4" spans="1:3" ht="15.75" x14ac:dyDescent="0.25">
      <c r="A4" s="31" t="s">
        <v>71</v>
      </c>
      <c r="B4" s="32" t="s">
        <v>203</v>
      </c>
      <c r="C4" s="32"/>
    </row>
    <row r="5" spans="1:3" ht="15.75" x14ac:dyDescent="0.25">
      <c r="A5" s="31"/>
      <c r="B5" s="32"/>
      <c r="C5" s="32"/>
    </row>
    <row r="6" spans="1:3" ht="15.75" x14ac:dyDescent="0.25">
      <c r="A6" s="29"/>
      <c r="B6" s="29"/>
      <c r="C6" s="30"/>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123" t="s">
        <v>219</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16">
        <v>2239</v>
      </c>
      <c r="B13" s="117" t="s">
        <v>191</v>
      </c>
      <c r="C13" s="112">
        <v>0.23</v>
      </c>
    </row>
    <row r="14" spans="1:3" ht="15.75" x14ac:dyDescent="0.25">
      <c r="A14" s="113"/>
      <c r="B14" s="118" t="s">
        <v>39</v>
      </c>
      <c r="C14" s="119">
        <f>SUM(C11:C13)</f>
        <v>5.7100000000000009</v>
      </c>
    </row>
    <row r="15" spans="1:3" ht="15.75" x14ac:dyDescent="0.25">
      <c r="A15" s="113"/>
      <c r="B15" s="94" t="s">
        <v>40</v>
      </c>
      <c r="C15" s="119"/>
    </row>
    <row r="16" spans="1:3" ht="15.75" x14ac:dyDescent="0.25">
      <c r="A16" s="113"/>
      <c r="B16" s="121" t="s">
        <v>204</v>
      </c>
      <c r="C16" s="119"/>
    </row>
    <row r="17" spans="1:3" ht="94.5" x14ac:dyDescent="0.25">
      <c r="A17" s="93">
        <v>1100</v>
      </c>
      <c r="B17" s="94" t="s">
        <v>220</v>
      </c>
      <c r="C17" s="119">
        <f>ROUND((9.63*3.5),2)</f>
        <v>33.71</v>
      </c>
    </row>
    <row r="18" spans="1:3" ht="15.75" x14ac:dyDescent="0.25">
      <c r="A18" s="93">
        <v>2341</v>
      </c>
      <c r="B18" s="94" t="s">
        <v>221</v>
      </c>
      <c r="C18" s="119">
        <v>0.19</v>
      </c>
    </row>
    <row r="19" spans="1:3" ht="15.75" x14ac:dyDescent="0.25">
      <c r="A19" s="113"/>
      <c r="B19" s="118" t="s">
        <v>50</v>
      </c>
      <c r="C19" s="119">
        <f>SUM(C17:C18)</f>
        <v>33.9</v>
      </c>
    </row>
    <row r="20" spans="1:3" ht="15.75" x14ac:dyDescent="0.25">
      <c r="A20" s="123"/>
      <c r="B20" s="123" t="s">
        <v>51</v>
      </c>
      <c r="C20" s="119"/>
    </row>
    <row r="21" spans="1:3" ht="94.5" x14ac:dyDescent="0.25">
      <c r="A21" s="93">
        <v>1100</v>
      </c>
      <c r="B21" s="94" t="s">
        <v>200</v>
      </c>
      <c r="C21" s="119">
        <f>ROUND((12.97*0.083),2)</f>
        <v>1.08</v>
      </c>
    </row>
    <row r="22" spans="1:3" ht="15.75" x14ac:dyDescent="0.25">
      <c r="A22" s="113"/>
      <c r="B22" s="118" t="s">
        <v>55</v>
      </c>
      <c r="C22" s="119">
        <f>C21</f>
        <v>1.08</v>
      </c>
    </row>
    <row r="23" spans="1:3" ht="15.75" x14ac:dyDescent="0.25">
      <c r="A23" s="113"/>
      <c r="B23" s="118" t="s">
        <v>8</v>
      </c>
      <c r="C23" s="119">
        <f>SUM(C14,C19,C22)</f>
        <v>40.69</v>
      </c>
    </row>
    <row r="24" spans="1:3" ht="15.75" x14ac:dyDescent="0.25">
      <c r="A24" s="113"/>
      <c r="B24" s="112" t="s">
        <v>9</v>
      </c>
      <c r="C24" s="115" t="s">
        <v>4</v>
      </c>
    </row>
    <row r="25" spans="1:3" ht="15.75" x14ac:dyDescent="0.25">
      <c r="A25" s="112">
        <v>1100</v>
      </c>
      <c r="B25" s="124" t="s">
        <v>10</v>
      </c>
      <c r="C25" s="115">
        <v>0.39</v>
      </c>
    </row>
    <row r="26" spans="1:3" ht="15.75" x14ac:dyDescent="0.25">
      <c r="A26" s="125">
        <v>2210</v>
      </c>
      <c r="B26" s="126" t="s">
        <v>11</v>
      </c>
      <c r="C26" s="119">
        <v>0.1300285626642281</v>
      </c>
    </row>
    <row r="27" spans="1:3" ht="15.75" x14ac:dyDescent="0.25">
      <c r="A27" s="125">
        <v>2220</v>
      </c>
      <c r="B27" s="126" t="s">
        <v>12</v>
      </c>
      <c r="C27" s="115">
        <v>0.50248917686279504</v>
      </c>
    </row>
    <row r="28" spans="1:3" ht="15.75" x14ac:dyDescent="0.25">
      <c r="A28" s="125">
        <v>2240</v>
      </c>
      <c r="B28" s="126" t="s">
        <v>56</v>
      </c>
      <c r="C28" s="115">
        <v>1.3345488140851267</v>
      </c>
    </row>
    <row r="29" spans="1:3" ht="15.75" x14ac:dyDescent="0.25">
      <c r="A29" s="125">
        <v>2310</v>
      </c>
      <c r="B29" s="126" t="s">
        <v>15</v>
      </c>
      <c r="C29" s="115">
        <v>0.2458630439060529</v>
      </c>
    </row>
    <row r="30" spans="1:3" ht="15.75" x14ac:dyDescent="0.25">
      <c r="A30" s="120">
        <v>5200</v>
      </c>
      <c r="B30" s="127" t="s">
        <v>201</v>
      </c>
      <c r="C30" s="115">
        <v>0.24742733449860518</v>
      </c>
    </row>
    <row r="31" spans="1:3" ht="15.75" x14ac:dyDescent="0.25">
      <c r="A31" s="113"/>
      <c r="B31" s="118" t="s">
        <v>17</v>
      </c>
      <c r="C31" s="115">
        <f>SUM(C25:C30)</f>
        <v>2.8503569320168083</v>
      </c>
    </row>
    <row r="32" spans="1:3" ht="15.75" x14ac:dyDescent="0.25">
      <c r="A32" s="112"/>
      <c r="B32" s="128" t="s">
        <v>18</v>
      </c>
      <c r="C32" s="115">
        <f>SUM(C23,C31)</f>
        <v>43.540356932016806</v>
      </c>
    </row>
    <row r="33" spans="1:3" ht="15.75" x14ac:dyDescent="0.25">
      <c r="A33" s="258" t="s">
        <v>19</v>
      </c>
      <c r="B33" s="258"/>
      <c r="C33" s="120">
        <v>1</v>
      </c>
    </row>
    <row r="34" spans="1:3" ht="15.75" x14ac:dyDescent="0.25">
      <c r="A34" s="258" t="s">
        <v>20</v>
      </c>
      <c r="B34" s="258"/>
      <c r="C34" s="119">
        <f>C32</f>
        <v>43.540356932016806</v>
      </c>
    </row>
    <row r="35" spans="1:3" ht="15.75" x14ac:dyDescent="0.25">
      <c r="A35" s="258" t="s">
        <v>21</v>
      </c>
      <c r="B35" s="258"/>
      <c r="C35" s="120">
        <v>160</v>
      </c>
    </row>
    <row r="36" spans="1:3" ht="15.75" x14ac:dyDescent="0.25">
      <c r="A36" s="258" t="s">
        <v>22</v>
      </c>
      <c r="B36" s="258"/>
      <c r="C36" s="119">
        <f>C35*C34</f>
        <v>6966.457109122689</v>
      </c>
    </row>
  </sheetData>
  <mergeCells count="5">
    <mergeCell ref="B2:C2"/>
    <mergeCell ref="A33:B33"/>
    <mergeCell ref="A34:B34"/>
    <mergeCell ref="A35:B35"/>
    <mergeCell ref="A36:B3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44EA-63DA-4A32-A5A1-2353CB5A0B9C}">
  <sheetPr>
    <tabColor theme="9" tint="0.79998168889431442"/>
  </sheetPr>
  <dimension ref="A1:C39"/>
  <sheetViews>
    <sheetView zoomScale="70" zoomScaleNormal="70" workbookViewId="0">
      <selection sqref="A1:C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207</v>
      </c>
      <c r="C2" s="252"/>
    </row>
    <row r="3" spans="1:3" ht="15.75" x14ac:dyDescent="0.25">
      <c r="A3" s="29"/>
      <c r="B3" s="32" t="s">
        <v>550</v>
      </c>
      <c r="C3" s="32"/>
    </row>
    <row r="4" spans="1:3" ht="15.75" x14ac:dyDescent="0.25">
      <c r="A4" s="31" t="s">
        <v>71</v>
      </c>
      <c r="B4" s="32" t="s">
        <v>203</v>
      </c>
      <c r="C4" s="32"/>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13"/>
      <c r="B10" s="94" t="s">
        <v>188</v>
      </c>
      <c r="C10" s="112"/>
    </row>
    <row r="11" spans="1:3" ht="94.5" x14ac:dyDescent="0.25">
      <c r="A11" s="93">
        <v>1100</v>
      </c>
      <c r="B11" s="114" t="s">
        <v>189</v>
      </c>
      <c r="C11" s="115">
        <f>ROUND((9.63*0.25),2)</f>
        <v>2.41</v>
      </c>
    </row>
    <row r="12" spans="1:3" ht="15.75" x14ac:dyDescent="0.25">
      <c r="A12" s="93">
        <v>2341</v>
      </c>
      <c r="B12" s="114" t="s">
        <v>190</v>
      </c>
      <c r="C12" s="112">
        <v>3.07</v>
      </c>
    </row>
    <row r="13" spans="1:3" ht="15.75" x14ac:dyDescent="0.25">
      <c r="A13" s="129">
        <v>2239</v>
      </c>
      <c r="B13" s="117" t="s">
        <v>191</v>
      </c>
      <c r="C13" s="112">
        <v>0.23</v>
      </c>
    </row>
    <row r="14" spans="1:3" ht="15.75" x14ac:dyDescent="0.25">
      <c r="A14" s="113"/>
      <c r="B14" s="118" t="s">
        <v>39</v>
      </c>
      <c r="C14" s="119">
        <f>SUM(C11:C13)</f>
        <v>5.7100000000000009</v>
      </c>
    </row>
    <row r="15" spans="1:3" ht="15.75" x14ac:dyDescent="0.25">
      <c r="A15" s="113"/>
      <c r="B15" s="94" t="s">
        <v>40</v>
      </c>
      <c r="C15" s="119"/>
    </row>
    <row r="16" spans="1:3" ht="15.75" x14ac:dyDescent="0.25">
      <c r="A16" s="113"/>
      <c r="B16" s="121" t="s">
        <v>192</v>
      </c>
      <c r="C16" s="119"/>
    </row>
    <row r="17" spans="1:3" ht="94.5" x14ac:dyDescent="0.25">
      <c r="A17" s="93">
        <v>1100</v>
      </c>
      <c r="B17" s="114" t="s">
        <v>521</v>
      </c>
      <c r="C17" s="115">
        <f>ROUND((9.63*0.5),2)</f>
        <v>4.82</v>
      </c>
    </row>
    <row r="18" spans="1:3" ht="15.75" x14ac:dyDescent="0.25">
      <c r="A18" s="93">
        <v>2341</v>
      </c>
      <c r="B18" s="94" t="s">
        <v>551</v>
      </c>
      <c r="C18" s="119">
        <v>0.38</v>
      </c>
    </row>
    <row r="19" spans="1:3" ht="15.75" x14ac:dyDescent="0.25">
      <c r="A19" s="113"/>
      <c r="B19" s="121" t="s">
        <v>195</v>
      </c>
      <c r="C19" s="119"/>
    </row>
    <row r="20" spans="1:3" ht="94.5" x14ac:dyDescent="0.25">
      <c r="A20" s="93">
        <v>1100</v>
      </c>
      <c r="B20" s="114" t="s">
        <v>229</v>
      </c>
      <c r="C20" s="115">
        <f>ROUND((9.63*0.75),2)</f>
        <v>7.22</v>
      </c>
    </row>
    <row r="21" spans="1:3" ht="15.75" x14ac:dyDescent="0.25">
      <c r="A21" s="93">
        <v>2341</v>
      </c>
      <c r="B21" s="94" t="s">
        <v>525</v>
      </c>
      <c r="C21" s="119">
        <v>2.9</v>
      </c>
    </row>
    <row r="22" spans="1:3" ht="15.75" x14ac:dyDescent="0.25">
      <c r="A22" s="113"/>
      <c r="B22" s="118" t="s">
        <v>50</v>
      </c>
      <c r="C22" s="119">
        <f>SUM(C17:C21)</f>
        <v>15.32</v>
      </c>
    </row>
    <row r="23" spans="1:3" ht="15.75" x14ac:dyDescent="0.25">
      <c r="A23" s="123"/>
      <c r="B23" s="123" t="s">
        <v>51</v>
      </c>
      <c r="C23" s="119"/>
    </row>
    <row r="24" spans="1:3" ht="94.5" x14ac:dyDescent="0.25">
      <c r="A24" s="93">
        <v>1100</v>
      </c>
      <c r="B24" s="94" t="s">
        <v>200</v>
      </c>
      <c r="C24" s="119">
        <f>ROUND((12.97*0.083),2)</f>
        <v>1.08</v>
      </c>
    </row>
    <row r="25" spans="1:3" ht="15.75" x14ac:dyDescent="0.25">
      <c r="A25" s="113"/>
      <c r="B25" s="118" t="s">
        <v>55</v>
      </c>
      <c r="C25" s="119">
        <f>C24</f>
        <v>1.08</v>
      </c>
    </row>
    <row r="26" spans="1:3" ht="15.75" x14ac:dyDescent="0.25">
      <c r="A26" s="113"/>
      <c r="B26" s="118" t="s">
        <v>8</v>
      </c>
      <c r="C26" s="119">
        <f>SUM(C14,C22,C25)</f>
        <v>22.11</v>
      </c>
    </row>
    <row r="27" spans="1:3" ht="15.75" x14ac:dyDescent="0.25">
      <c r="A27" s="113"/>
      <c r="B27" s="112" t="s">
        <v>9</v>
      </c>
      <c r="C27" s="112" t="s">
        <v>4</v>
      </c>
    </row>
    <row r="28" spans="1:3" ht="15.75" x14ac:dyDescent="0.25">
      <c r="A28" s="112">
        <v>1100</v>
      </c>
      <c r="B28" s="124" t="s">
        <v>10</v>
      </c>
      <c r="C28" s="112">
        <v>0.21</v>
      </c>
    </row>
    <row r="29" spans="1:3" ht="15.75" x14ac:dyDescent="0.25">
      <c r="A29" s="125">
        <v>2210</v>
      </c>
      <c r="B29" s="126" t="s">
        <v>11</v>
      </c>
      <c r="C29" s="120">
        <v>7.0000000000000007E-2</v>
      </c>
    </row>
    <row r="30" spans="1:3" ht="15.75" x14ac:dyDescent="0.25">
      <c r="A30" s="125">
        <v>2220</v>
      </c>
      <c r="B30" s="126" t="s">
        <v>12</v>
      </c>
      <c r="C30" s="115">
        <v>0.27</v>
      </c>
    </row>
    <row r="31" spans="1:3" ht="15.75" x14ac:dyDescent="0.25">
      <c r="A31" s="125">
        <v>2240</v>
      </c>
      <c r="B31" s="126" t="s">
        <v>56</v>
      </c>
      <c r="C31" s="112">
        <v>0.73</v>
      </c>
    </row>
    <row r="32" spans="1:3" ht="15.75" x14ac:dyDescent="0.25">
      <c r="A32" s="125">
        <v>2310</v>
      </c>
      <c r="B32" s="126" t="s">
        <v>15</v>
      </c>
      <c r="C32" s="115">
        <v>0.13</v>
      </c>
    </row>
    <row r="33" spans="1:3" ht="15.75" x14ac:dyDescent="0.25">
      <c r="A33" s="120">
        <v>5200</v>
      </c>
      <c r="B33" s="127" t="s">
        <v>201</v>
      </c>
      <c r="C33" s="115">
        <v>0.13</v>
      </c>
    </row>
    <row r="34" spans="1:3" ht="15.75" x14ac:dyDescent="0.25">
      <c r="A34" s="113"/>
      <c r="B34" s="118" t="s">
        <v>17</v>
      </c>
      <c r="C34" s="115">
        <f>SUM(C28:C33)</f>
        <v>1.54</v>
      </c>
    </row>
    <row r="35" spans="1:3" ht="15.75" x14ac:dyDescent="0.25">
      <c r="A35" s="112"/>
      <c r="B35" s="128" t="s">
        <v>18</v>
      </c>
      <c r="C35" s="115">
        <f>SUM(C26,C34)</f>
        <v>23.65</v>
      </c>
    </row>
    <row r="36" spans="1:3" ht="15.75" x14ac:dyDescent="0.25">
      <c r="A36" s="258" t="s">
        <v>19</v>
      </c>
      <c r="B36" s="258"/>
      <c r="C36" s="120">
        <v>1</v>
      </c>
    </row>
    <row r="37" spans="1:3" ht="15.75" x14ac:dyDescent="0.25">
      <c r="A37" s="258" t="s">
        <v>20</v>
      </c>
      <c r="B37" s="258"/>
      <c r="C37" s="119">
        <f>C35</f>
        <v>23.65</v>
      </c>
    </row>
    <row r="38" spans="1:3" ht="15.75" x14ac:dyDescent="0.25">
      <c r="A38" s="258" t="s">
        <v>21</v>
      </c>
      <c r="B38" s="258"/>
      <c r="C38" s="120">
        <v>107</v>
      </c>
    </row>
    <row r="39" spans="1:3" ht="15.75" x14ac:dyDescent="0.25">
      <c r="A39" s="258" t="s">
        <v>22</v>
      </c>
      <c r="B39" s="258"/>
      <c r="C39" s="119">
        <f>C38*C37</f>
        <v>2530.5499999999997</v>
      </c>
    </row>
  </sheetData>
  <mergeCells count="5">
    <mergeCell ref="B2:C2"/>
    <mergeCell ref="A36:B36"/>
    <mergeCell ref="A37:B37"/>
    <mergeCell ref="A38:B38"/>
    <mergeCell ref="A39:B3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7077E-5EC7-4B34-A0A3-CDA6AB0BC4E4}">
  <sheetPr>
    <tabColor theme="9" tint="0.79998168889431442"/>
  </sheetPr>
  <dimension ref="A1:D36"/>
  <sheetViews>
    <sheetView topLeftCell="A14" zoomScale="85" zoomScaleNormal="85" workbookViewId="0">
      <selection activeCell="A36" sqref="A36:C36"/>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552</v>
      </c>
      <c r="C2" s="254"/>
    </row>
    <row r="3" spans="1:3" x14ac:dyDescent="0.25">
      <c r="A3" s="149"/>
      <c r="B3" s="152" t="s">
        <v>560</v>
      </c>
      <c r="C3" s="152"/>
    </row>
    <row r="4" spans="1:3" x14ac:dyDescent="0.25">
      <c r="A4" s="151" t="s">
        <v>71</v>
      </c>
      <c r="B4" s="152" t="s">
        <v>203</v>
      </c>
      <c r="C4" s="152"/>
    </row>
    <row r="7" spans="1:3" ht="63" x14ac:dyDescent="0.25">
      <c r="A7" s="153" t="s">
        <v>0</v>
      </c>
      <c r="B7" s="153" t="s">
        <v>1</v>
      </c>
      <c r="C7" s="153" t="s">
        <v>2</v>
      </c>
    </row>
    <row r="8" spans="1:3" x14ac:dyDescent="0.25">
      <c r="A8" s="153">
        <v>1</v>
      </c>
      <c r="B8" s="153">
        <v>2</v>
      </c>
      <c r="C8" s="153">
        <v>3</v>
      </c>
    </row>
    <row r="9" spans="1:3" x14ac:dyDescent="0.25">
      <c r="A9" s="154"/>
      <c r="B9" s="153" t="s">
        <v>3</v>
      </c>
      <c r="C9" s="153" t="s">
        <v>4</v>
      </c>
    </row>
    <row r="10" spans="1:3" x14ac:dyDescent="0.25">
      <c r="A10" s="154"/>
      <c r="B10" s="157" t="s">
        <v>553</v>
      </c>
      <c r="C10" s="153"/>
    </row>
    <row r="11" spans="1:3" ht="94.5" x14ac:dyDescent="0.25">
      <c r="A11" s="156">
        <v>1100</v>
      </c>
      <c r="B11" s="157" t="s">
        <v>513</v>
      </c>
      <c r="C11" s="158">
        <f>ROUND((10*0.083),2)</f>
        <v>0.83</v>
      </c>
    </row>
    <row r="12" spans="1:3" x14ac:dyDescent="0.25">
      <c r="A12" s="154"/>
      <c r="B12" s="160" t="s">
        <v>554</v>
      </c>
      <c r="C12" s="158">
        <f>C11</f>
        <v>0.83</v>
      </c>
    </row>
    <row r="13" spans="1:3" x14ac:dyDescent="0.25">
      <c r="A13" s="154"/>
      <c r="B13" s="157" t="s">
        <v>555</v>
      </c>
      <c r="C13" s="158"/>
    </row>
    <row r="14" spans="1:3" ht="78.75" x14ac:dyDescent="0.25">
      <c r="A14" s="156">
        <v>1100</v>
      </c>
      <c r="B14" s="157" t="s">
        <v>515</v>
      </c>
      <c r="C14" s="158">
        <f>ROUND((10*0.667),2)</f>
        <v>6.67</v>
      </c>
    </row>
    <row r="15" spans="1:3" ht="78.75" x14ac:dyDescent="0.25">
      <c r="A15" s="156">
        <v>1100</v>
      </c>
      <c r="B15" s="157" t="s">
        <v>556</v>
      </c>
      <c r="C15" s="159">
        <f>10*0.5</f>
        <v>5</v>
      </c>
    </row>
    <row r="16" spans="1:3" ht="47.25" x14ac:dyDescent="0.25">
      <c r="A16" s="156">
        <v>2322</v>
      </c>
      <c r="B16" s="157" t="s">
        <v>545</v>
      </c>
      <c r="C16" s="158">
        <v>7.79</v>
      </c>
    </row>
    <row r="17" spans="1:4" x14ac:dyDescent="0.25">
      <c r="A17" s="156">
        <v>2310</v>
      </c>
      <c r="B17" s="161" t="s">
        <v>557</v>
      </c>
      <c r="C17" s="158">
        <v>1.37</v>
      </c>
    </row>
    <row r="18" spans="1:4" x14ac:dyDescent="0.25">
      <c r="A18" s="154"/>
      <c r="B18" s="160" t="s">
        <v>558</v>
      </c>
      <c r="C18" s="158">
        <f>SUM(C14:C17)</f>
        <v>20.830000000000002</v>
      </c>
    </row>
    <row r="19" spans="1:4" x14ac:dyDescent="0.25">
      <c r="A19" s="129"/>
      <c r="B19" s="160" t="s">
        <v>8</v>
      </c>
      <c r="C19" s="158">
        <f>C12+C18</f>
        <v>21.66</v>
      </c>
    </row>
    <row r="20" spans="1:4" x14ac:dyDescent="0.25">
      <c r="A20" s="154"/>
      <c r="B20" s="153" t="s">
        <v>9</v>
      </c>
      <c r="C20" s="158" t="s">
        <v>4</v>
      </c>
    </row>
    <row r="21" spans="1:4" x14ac:dyDescent="0.25">
      <c r="A21" s="153">
        <v>1100</v>
      </c>
      <c r="B21" s="166" t="s">
        <v>10</v>
      </c>
      <c r="C21" s="158">
        <v>0.3</v>
      </c>
    </row>
    <row r="22" spans="1:4" x14ac:dyDescent="0.25">
      <c r="A22" s="129">
        <v>2210</v>
      </c>
      <c r="B22" s="167" t="s">
        <v>11</v>
      </c>
      <c r="C22" s="159">
        <v>0.1</v>
      </c>
    </row>
    <row r="23" spans="1:4" x14ac:dyDescent="0.25">
      <c r="A23" s="156" t="s">
        <v>548</v>
      </c>
      <c r="B23" s="172" t="s">
        <v>31</v>
      </c>
      <c r="C23" s="158">
        <v>0.38</v>
      </c>
    </row>
    <row r="24" spans="1:4" x14ac:dyDescent="0.25">
      <c r="A24" s="129">
        <v>2310</v>
      </c>
      <c r="B24" s="167" t="s">
        <v>15</v>
      </c>
      <c r="C24" s="158">
        <v>1.02</v>
      </c>
    </row>
    <row r="25" spans="1:4" x14ac:dyDescent="0.25">
      <c r="A25" s="176" t="s">
        <v>559</v>
      </c>
      <c r="B25" s="177" t="s">
        <v>14</v>
      </c>
      <c r="C25" s="158">
        <v>0.19</v>
      </c>
    </row>
    <row r="26" spans="1:4" x14ac:dyDescent="0.25">
      <c r="A26" s="162">
        <v>5200</v>
      </c>
      <c r="B26" s="168" t="s">
        <v>201</v>
      </c>
      <c r="C26" s="158">
        <v>0.19</v>
      </c>
    </row>
    <row r="27" spans="1:4" x14ac:dyDescent="0.25">
      <c r="A27" s="154"/>
      <c r="B27" s="160" t="s">
        <v>17</v>
      </c>
      <c r="C27" s="158">
        <f>SUM(C21:C26)</f>
        <v>2.1800000000000002</v>
      </c>
    </row>
    <row r="28" spans="1:4" x14ac:dyDescent="0.25">
      <c r="A28" s="153"/>
      <c r="B28" s="169" t="s">
        <v>18</v>
      </c>
      <c r="C28" s="158">
        <f>C19+C27</f>
        <v>23.84</v>
      </c>
      <c r="D28" s="171"/>
    </row>
    <row r="29" spans="1:4" x14ac:dyDescent="0.25">
      <c r="A29" s="257" t="s">
        <v>19</v>
      </c>
      <c r="B29" s="257"/>
      <c r="C29" s="162">
        <v>1</v>
      </c>
    </row>
    <row r="30" spans="1:4" x14ac:dyDescent="0.25">
      <c r="A30" s="257" t="s">
        <v>528</v>
      </c>
      <c r="B30" s="257"/>
      <c r="C30" s="159">
        <f>C28</f>
        <v>23.84</v>
      </c>
    </row>
    <row r="31" spans="1:4" x14ac:dyDescent="0.25">
      <c r="A31" s="257" t="s">
        <v>21</v>
      </c>
      <c r="B31" s="257"/>
      <c r="C31" s="162">
        <v>20</v>
      </c>
    </row>
    <row r="32" spans="1:4" x14ac:dyDescent="0.25">
      <c r="A32" s="257" t="s">
        <v>529</v>
      </c>
      <c r="B32" s="257"/>
      <c r="C32" s="159">
        <f>C31*C30</f>
        <v>476.8</v>
      </c>
    </row>
    <row r="33" spans="1:3" x14ac:dyDescent="0.25">
      <c r="C33" s="246">
        <v>7.29</v>
      </c>
    </row>
    <row r="34" spans="1:3" x14ac:dyDescent="0.25">
      <c r="C34" s="245">
        <v>20</v>
      </c>
    </row>
    <row r="35" spans="1:3" x14ac:dyDescent="0.25">
      <c r="C35" s="245">
        <f>C33*C34</f>
        <v>145.80000000000001</v>
      </c>
    </row>
    <row r="36" spans="1:3" ht="33" customHeight="1" x14ac:dyDescent="0.25">
      <c r="A36" s="263" t="s">
        <v>700</v>
      </c>
      <c r="B36" s="263"/>
      <c r="C36" s="263"/>
    </row>
  </sheetData>
  <mergeCells count="6">
    <mergeCell ref="A36:C36"/>
    <mergeCell ref="B2:C2"/>
    <mergeCell ref="A29:B29"/>
    <mergeCell ref="A30:B30"/>
    <mergeCell ref="A31:B31"/>
    <mergeCell ref="A32:B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7CA5-05A5-4C48-841A-2E0C29316F91}">
  <sheetPr>
    <tabColor theme="9" tint="0.79998168889431442"/>
  </sheetPr>
  <dimension ref="A1:C37"/>
  <sheetViews>
    <sheetView topLeftCell="A21" zoomScale="85" zoomScaleNormal="85" workbookViewId="0">
      <selection activeCell="B4" sqref="B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509</v>
      </c>
      <c r="C2" s="252"/>
    </row>
    <row r="3" spans="1:3" ht="63" x14ac:dyDescent="0.25">
      <c r="A3" s="31"/>
      <c r="B3" s="32" t="s">
        <v>510</v>
      </c>
      <c r="C3" s="32"/>
    </row>
    <row r="4" spans="1:3" ht="15.75" x14ac:dyDescent="0.25">
      <c r="A4" s="29"/>
      <c r="B4" s="32" t="s">
        <v>526</v>
      </c>
      <c r="C4" s="32"/>
    </row>
    <row r="5" spans="1:3" ht="15.75" x14ac:dyDescent="0.25">
      <c r="A5" s="31" t="s">
        <v>71</v>
      </c>
      <c r="B5" s="32" t="s">
        <v>203</v>
      </c>
      <c r="C5" s="32"/>
    </row>
    <row r="8" spans="1:3" ht="63" x14ac:dyDescent="0.25">
      <c r="A8" s="112" t="s">
        <v>0</v>
      </c>
      <c r="B8" s="112" t="s">
        <v>1</v>
      </c>
      <c r="C8" s="112" t="s">
        <v>2</v>
      </c>
    </row>
    <row r="9" spans="1:3" ht="15.75" x14ac:dyDescent="0.25">
      <c r="A9" s="112">
        <v>1</v>
      </c>
      <c r="B9" s="112">
        <v>2</v>
      </c>
      <c r="C9" s="112">
        <v>3</v>
      </c>
    </row>
    <row r="10" spans="1:3" ht="15.75" x14ac:dyDescent="0.25">
      <c r="A10" s="113"/>
      <c r="B10" s="112" t="s">
        <v>3</v>
      </c>
      <c r="C10" s="112" t="s">
        <v>4</v>
      </c>
    </row>
    <row r="11" spans="1:3" ht="15.75" x14ac:dyDescent="0.25">
      <c r="A11" s="113"/>
      <c r="B11" s="123" t="s">
        <v>219</v>
      </c>
      <c r="C11" s="112"/>
    </row>
    <row r="12" spans="1:3" ht="94.5" x14ac:dyDescent="0.25">
      <c r="A12" s="93">
        <v>1100</v>
      </c>
      <c r="B12" s="114" t="s">
        <v>189</v>
      </c>
      <c r="C12" s="115">
        <f>ROUND((9.63*0.25),2)</f>
        <v>2.41</v>
      </c>
    </row>
    <row r="13" spans="1:3" ht="15.75" x14ac:dyDescent="0.25">
      <c r="A13" s="93">
        <v>2341</v>
      </c>
      <c r="B13" s="114" t="s">
        <v>190</v>
      </c>
      <c r="C13" s="112">
        <v>3.3</v>
      </c>
    </row>
    <row r="14" spans="1:3" ht="15.75" x14ac:dyDescent="0.25">
      <c r="A14" s="116">
        <v>2239</v>
      </c>
      <c r="B14" s="117" t="s">
        <v>191</v>
      </c>
      <c r="C14" s="112">
        <v>0.23</v>
      </c>
    </row>
    <row r="15" spans="1:3" ht="15.75" x14ac:dyDescent="0.25">
      <c r="A15" s="113"/>
      <c r="B15" s="118" t="s">
        <v>39</v>
      </c>
      <c r="C15" s="119">
        <f>SUM(C12:C14)</f>
        <v>5.94</v>
      </c>
    </row>
    <row r="16" spans="1:3" ht="15.75" x14ac:dyDescent="0.25">
      <c r="A16" s="113"/>
      <c r="B16" s="94" t="s">
        <v>40</v>
      </c>
      <c r="C16" s="119"/>
    </row>
    <row r="17" spans="1:3" ht="15.75" x14ac:dyDescent="0.25">
      <c r="A17" s="113"/>
      <c r="B17" s="121" t="s">
        <v>215</v>
      </c>
      <c r="C17" s="119"/>
    </row>
    <row r="18" spans="1:3" ht="94.5" x14ac:dyDescent="0.25">
      <c r="A18" s="93">
        <v>1100</v>
      </c>
      <c r="B18" s="94" t="s">
        <v>527</v>
      </c>
      <c r="C18" s="119">
        <f>ROUND((9.63*1.667),2)</f>
        <v>16.05</v>
      </c>
    </row>
    <row r="19" spans="1:3" ht="15.75" x14ac:dyDescent="0.25">
      <c r="A19" s="93">
        <v>2341</v>
      </c>
      <c r="B19" s="94" t="s">
        <v>217</v>
      </c>
      <c r="C19" s="119">
        <v>2.4500000000000002</v>
      </c>
    </row>
    <row r="20" spans="1:3" ht="15.75" x14ac:dyDescent="0.25">
      <c r="A20" s="113"/>
      <c r="B20" s="118" t="s">
        <v>50</v>
      </c>
      <c r="C20" s="119">
        <f>SUM(C18:C19)</f>
        <v>18.5</v>
      </c>
    </row>
    <row r="21" spans="1:3" ht="15.75" x14ac:dyDescent="0.25">
      <c r="A21" s="123"/>
      <c r="B21" s="123" t="s">
        <v>51</v>
      </c>
      <c r="C21" s="119"/>
    </row>
    <row r="22" spans="1:3" ht="94.5" x14ac:dyDescent="0.25">
      <c r="A22" s="93">
        <v>1100</v>
      </c>
      <c r="B22" s="94" t="s">
        <v>200</v>
      </c>
      <c r="C22" s="119">
        <f>ROUND((12.97*0.083),2)</f>
        <v>1.08</v>
      </c>
    </row>
    <row r="23" spans="1:3" ht="15.75" x14ac:dyDescent="0.25">
      <c r="A23" s="113"/>
      <c r="B23" s="118" t="s">
        <v>55</v>
      </c>
      <c r="C23" s="119">
        <f>C22</f>
        <v>1.08</v>
      </c>
    </row>
    <row r="24" spans="1:3" ht="15.75" x14ac:dyDescent="0.25">
      <c r="A24" s="113"/>
      <c r="B24" s="118" t="s">
        <v>8</v>
      </c>
      <c r="C24" s="119">
        <f>SUM(C15,C20,C23)</f>
        <v>25.520000000000003</v>
      </c>
    </row>
    <row r="25" spans="1:3" ht="15.75" x14ac:dyDescent="0.25">
      <c r="A25" s="113"/>
      <c r="B25" s="112" t="s">
        <v>9</v>
      </c>
      <c r="C25" s="115" t="s">
        <v>4</v>
      </c>
    </row>
    <row r="26" spans="1:3" ht="15.75" x14ac:dyDescent="0.25">
      <c r="A26" s="112">
        <v>1100</v>
      </c>
      <c r="B26" s="124" t="s">
        <v>10</v>
      </c>
      <c r="C26" s="115">
        <v>0.24</v>
      </c>
    </row>
    <row r="27" spans="1:3" ht="15.75" x14ac:dyDescent="0.25">
      <c r="A27" s="125">
        <v>2210</v>
      </c>
      <c r="B27" s="126" t="s">
        <v>11</v>
      </c>
      <c r="C27" s="119">
        <v>0.08</v>
      </c>
    </row>
    <row r="28" spans="1:3" ht="15.75" x14ac:dyDescent="0.25">
      <c r="A28" s="125">
        <v>2220</v>
      </c>
      <c r="B28" s="126" t="s">
        <v>12</v>
      </c>
      <c r="C28" s="115">
        <v>0.32</v>
      </c>
    </row>
    <row r="29" spans="1:3" ht="15.75" x14ac:dyDescent="0.25">
      <c r="A29" s="125">
        <v>2240</v>
      </c>
      <c r="B29" s="126" t="s">
        <v>56</v>
      </c>
      <c r="C29" s="115">
        <v>0.84</v>
      </c>
    </row>
    <row r="30" spans="1:3" ht="15.75" x14ac:dyDescent="0.25">
      <c r="A30" s="125">
        <v>2310</v>
      </c>
      <c r="B30" s="126" t="s">
        <v>15</v>
      </c>
      <c r="C30" s="115">
        <v>0.15</v>
      </c>
    </row>
    <row r="31" spans="1:3" ht="15.75" x14ac:dyDescent="0.25">
      <c r="A31" s="120">
        <v>5200</v>
      </c>
      <c r="B31" s="127" t="s">
        <v>201</v>
      </c>
      <c r="C31" s="115">
        <v>0.16</v>
      </c>
    </row>
    <row r="32" spans="1:3" ht="15.75" x14ac:dyDescent="0.25">
      <c r="A32" s="113"/>
      <c r="B32" s="118" t="s">
        <v>17</v>
      </c>
      <c r="C32" s="115">
        <f>SUM(C26:C31)</f>
        <v>1.7899999999999998</v>
      </c>
    </row>
    <row r="33" spans="1:3" ht="15.75" x14ac:dyDescent="0.25">
      <c r="A33" s="112"/>
      <c r="B33" s="128" t="s">
        <v>18</v>
      </c>
      <c r="C33" s="115">
        <f>SUM(C24,C32)</f>
        <v>27.310000000000002</v>
      </c>
    </row>
    <row r="34" spans="1:3" ht="15.75" x14ac:dyDescent="0.25">
      <c r="A34" s="258" t="s">
        <v>19</v>
      </c>
      <c r="B34" s="258"/>
      <c r="C34" s="120">
        <v>1</v>
      </c>
    </row>
    <row r="35" spans="1:3" ht="15.75" x14ac:dyDescent="0.25">
      <c r="A35" s="258" t="s">
        <v>20</v>
      </c>
      <c r="B35" s="258"/>
      <c r="C35" s="119">
        <f>C33</f>
        <v>27.310000000000002</v>
      </c>
    </row>
    <row r="36" spans="1:3" ht="15.75" x14ac:dyDescent="0.25">
      <c r="A36" s="258" t="s">
        <v>21</v>
      </c>
      <c r="B36" s="258"/>
      <c r="C36" s="120">
        <v>12</v>
      </c>
    </row>
    <row r="37" spans="1:3" ht="15.75" x14ac:dyDescent="0.25">
      <c r="A37" s="258" t="s">
        <v>22</v>
      </c>
      <c r="B37" s="258"/>
      <c r="C37" s="119">
        <f>C36*C35</f>
        <v>327.72</v>
      </c>
    </row>
  </sheetData>
  <mergeCells count="5">
    <mergeCell ref="B2:C2"/>
    <mergeCell ref="A34:B34"/>
    <mergeCell ref="A35:B35"/>
    <mergeCell ref="A36:B36"/>
    <mergeCell ref="A37:B3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8191-162C-4305-9430-554767B4FAB9}">
  <sheetPr>
    <tabColor theme="9" tint="0.79998168889431442"/>
  </sheetPr>
  <dimension ref="A1:D36"/>
  <sheetViews>
    <sheetView topLeftCell="A12" zoomScale="85" zoomScaleNormal="85" workbookViewId="0">
      <selection activeCell="A36" sqref="A36:C36"/>
    </sheetView>
  </sheetViews>
  <sheetFormatPr defaultColWidth="8.7109375" defaultRowHeight="15.75" x14ac:dyDescent="0.25"/>
  <cols>
    <col min="1" max="1" width="21.140625" style="170" bestFit="1" customWidth="1"/>
    <col min="2" max="2" width="155.42578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552</v>
      </c>
      <c r="C2" s="254"/>
    </row>
    <row r="3" spans="1:3" x14ac:dyDescent="0.25">
      <c r="A3" s="149"/>
      <c r="B3" s="170" t="s">
        <v>561</v>
      </c>
      <c r="C3" s="152"/>
    </row>
    <row r="4" spans="1:3" x14ac:dyDescent="0.25">
      <c r="A4" s="151" t="s">
        <v>71</v>
      </c>
      <c r="B4" s="152" t="s">
        <v>203</v>
      </c>
      <c r="C4" s="152"/>
    </row>
    <row r="7" spans="1:3" ht="63" x14ac:dyDescent="0.25">
      <c r="A7" s="112" t="s">
        <v>0</v>
      </c>
      <c r="B7" s="112" t="s">
        <v>1</v>
      </c>
      <c r="C7" s="112" t="s">
        <v>2</v>
      </c>
    </row>
    <row r="8" spans="1:3" x14ac:dyDescent="0.25">
      <c r="A8" s="112">
        <v>1</v>
      </c>
      <c r="B8" s="112">
        <v>2</v>
      </c>
      <c r="C8" s="112">
        <v>3</v>
      </c>
    </row>
    <row r="9" spans="1:3" x14ac:dyDescent="0.25">
      <c r="A9" s="113"/>
      <c r="B9" s="112" t="s">
        <v>3</v>
      </c>
      <c r="C9" s="112" t="s">
        <v>4</v>
      </c>
    </row>
    <row r="10" spans="1:3" x14ac:dyDescent="0.25">
      <c r="A10" s="113"/>
      <c r="B10" s="94" t="s">
        <v>553</v>
      </c>
      <c r="C10" s="112"/>
    </row>
    <row r="11" spans="1:3" ht="94.5" x14ac:dyDescent="0.25">
      <c r="A11" s="93">
        <v>1100</v>
      </c>
      <c r="B11" s="94" t="s">
        <v>513</v>
      </c>
      <c r="C11" s="115">
        <f>ROUND((10*0.083),2)</f>
        <v>0.83</v>
      </c>
    </row>
    <row r="12" spans="1:3" x14ac:dyDescent="0.25">
      <c r="A12" s="113"/>
      <c r="B12" s="118" t="s">
        <v>554</v>
      </c>
      <c r="C12" s="115">
        <f>C11</f>
        <v>0.83</v>
      </c>
    </row>
    <row r="13" spans="1:3" x14ac:dyDescent="0.25">
      <c r="A13" s="113"/>
      <c r="B13" s="94" t="s">
        <v>555</v>
      </c>
      <c r="C13" s="115"/>
    </row>
    <row r="14" spans="1:3" ht="78.75" x14ac:dyDescent="0.25">
      <c r="A14" s="93">
        <v>1100</v>
      </c>
      <c r="B14" s="94" t="s">
        <v>515</v>
      </c>
      <c r="C14" s="115">
        <f>ROUND((10*0.667),2)</f>
        <v>6.67</v>
      </c>
    </row>
    <row r="15" spans="1:3" ht="78.75" x14ac:dyDescent="0.25">
      <c r="A15" s="93">
        <v>1100</v>
      </c>
      <c r="B15" s="94" t="s">
        <v>514</v>
      </c>
      <c r="C15" s="119">
        <f>10*1</f>
        <v>10</v>
      </c>
    </row>
    <row r="16" spans="1:3" ht="47.25" x14ac:dyDescent="0.25">
      <c r="A16" s="93">
        <v>2322</v>
      </c>
      <c r="B16" s="94" t="s">
        <v>545</v>
      </c>
      <c r="C16" s="115">
        <v>7.79</v>
      </c>
    </row>
    <row r="17" spans="1:4" x14ac:dyDescent="0.25">
      <c r="A17" s="93">
        <v>2310</v>
      </c>
      <c r="B17" s="114" t="s">
        <v>557</v>
      </c>
      <c r="C17" s="115">
        <v>1.37</v>
      </c>
    </row>
    <row r="18" spans="1:4" x14ac:dyDescent="0.25">
      <c r="A18" s="113"/>
      <c r="B18" s="118" t="s">
        <v>558</v>
      </c>
      <c r="C18" s="115">
        <f>SUM(C14:C17)</f>
        <v>25.830000000000002</v>
      </c>
    </row>
    <row r="19" spans="1:4" x14ac:dyDescent="0.25">
      <c r="A19" s="173"/>
      <c r="B19" s="118" t="s">
        <v>8</v>
      </c>
      <c r="C19" s="115">
        <f>C12+C18</f>
        <v>26.66</v>
      </c>
    </row>
    <row r="20" spans="1:4" x14ac:dyDescent="0.25">
      <c r="A20" s="113"/>
      <c r="B20" s="112" t="s">
        <v>9</v>
      </c>
      <c r="C20" s="115" t="s">
        <v>4</v>
      </c>
    </row>
    <row r="21" spans="1:4" x14ac:dyDescent="0.25">
      <c r="A21" s="112">
        <v>1100</v>
      </c>
      <c r="B21" s="124" t="s">
        <v>10</v>
      </c>
      <c r="C21" s="115">
        <v>0.86</v>
      </c>
    </row>
    <row r="22" spans="1:4" x14ac:dyDescent="0.25">
      <c r="A22" s="125">
        <v>2210</v>
      </c>
      <c r="B22" s="126" t="s">
        <v>11</v>
      </c>
      <c r="C22" s="119">
        <v>0.28999999999999998</v>
      </c>
    </row>
    <row r="23" spans="1:4" x14ac:dyDescent="0.25">
      <c r="A23" s="93" t="s">
        <v>548</v>
      </c>
      <c r="B23" s="62" t="s">
        <v>31</v>
      </c>
      <c r="C23" s="115">
        <v>0.65</v>
      </c>
    </row>
    <row r="24" spans="1:4" x14ac:dyDescent="0.25">
      <c r="A24" s="125">
        <v>2310</v>
      </c>
      <c r="B24" s="126" t="s">
        <v>15</v>
      </c>
      <c r="C24" s="115">
        <v>0.42</v>
      </c>
    </row>
    <row r="25" spans="1:4" x14ac:dyDescent="0.25">
      <c r="A25" s="174" t="s">
        <v>559</v>
      </c>
      <c r="B25" s="175" t="s">
        <v>14</v>
      </c>
      <c r="C25" s="115">
        <v>0.54</v>
      </c>
    </row>
    <row r="26" spans="1:4" x14ac:dyDescent="0.25">
      <c r="A26" s="120">
        <v>5200</v>
      </c>
      <c r="B26" s="127" t="s">
        <v>201</v>
      </c>
      <c r="C26" s="115">
        <v>0.55000000000000004</v>
      </c>
    </row>
    <row r="27" spans="1:4" x14ac:dyDescent="0.25">
      <c r="A27" s="113"/>
      <c r="B27" s="118" t="s">
        <v>17</v>
      </c>
      <c r="C27" s="115">
        <f>SUM(C21:C26)</f>
        <v>3.3099999999999996</v>
      </c>
    </row>
    <row r="28" spans="1:4" x14ac:dyDescent="0.25">
      <c r="A28" s="112"/>
      <c r="B28" s="128" t="s">
        <v>18</v>
      </c>
      <c r="C28" s="115">
        <f>C19+C27</f>
        <v>29.97</v>
      </c>
      <c r="D28" s="171"/>
    </row>
    <row r="29" spans="1:4" x14ac:dyDescent="0.25">
      <c r="A29" s="258" t="s">
        <v>19</v>
      </c>
      <c r="B29" s="258"/>
      <c r="C29" s="120">
        <v>1</v>
      </c>
    </row>
    <row r="30" spans="1:4" x14ac:dyDescent="0.25">
      <c r="A30" s="258" t="s">
        <v>20</v>
      </c>
      <c r="B30" s="258"/>
      <c r="C30" s="119">
        <f>C28</f>
        <v>29.97</v>
      </c>
    </row>
    <row r="31" spans="1:4" x14ac:dyDescent="0.25">
      <c r="A31" s="258" t="s">
        <v>21</v>
      </c>
      <c r="B31" s="258"/>
      <c r="C31" s="120">
        <v>74</v>
      </c>
    </row>
    <row r="32" spans="1:4" x14ac:dyDescent="0.25">
      <c r="A32" s="258" t="s">
        <v>22</v>
      </c>
      <c r="B32" s="258"/>
      <c r="C32" s="119">
        <f>C31*C30</f>
        <v>2217.7799999999997</v>
      </c>
    </row>
    <row r="33" spans="1:3" x14ac:dyDescent="0.25">
      <c r="C33" s="246">
        <v>13.26</v>
      </c>
    </row>
    <row r="34" spans="1:3" x14ac:dyDescent="0.25">
      <c r="C34" s="245">
        <v>74</v>
      </c>
    </row>
    <row r="35" spans="1:3" x14ac:dyDescent="0.25">
      <c r="C35" s="245">
        <f>C33*C34</f>
        <v>981.24</v>
      </c>
    </row>
    <row r="36" spans="1:3" ht="33.6" customHeight="1" x14ac:dyDescent="0.25">
      <c r="A36" s="263" t="s">
        <v>699</v>
      </c>
      <c r="B36" s="263"/>
      <c r="C36" s="263"/>
    </row>
  </sheetData>
  <mergeCells count="6">
    <mergeCell ref="A36:C36"/>
    <mergeCell ref="B2:C2"/>
    <mergeCell ref="A29:B29"/>
    <mergeCell ref="A30:B30"/>
    <mergeCell ref="A31:B31"/>
    <mergeCell ref="A32:B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D13B-00A9-4483-BABC-5FAAC9EA9F55}">
  <sheetPr>
    <tabColor theme="9" tint="0.79998168889431442"/>
  </sheetPr>
  <dimension ref="A1:D29"/>
  <sheetViews>
    <sheetView zoomScale="85" zoomScaleNormal="85" workbookViewId="0">
      <selection activeCell="A2" sqref="A2"/>
    </sheetView>
  </sheetViews>
  <sheetFormatPr defaultColWidth="8.7109375" defaultRowHeight="15.75" x14ac:dyDescent="0.25"/>
  <cols>
    <col min="1" max="1" width="21.140625" style="178" bestFit="1" customWidth="1"/>
    <col min="2" max="2" width="155.42578125" style="178" customWidth="1"/>
    <col min="3" max="3" width="26.42578125" style="178" customWidth="1"/>
    <col min="4" max="16384" width="8.7109375" style="178"/>
  </cols>
  <sheetData>
    <row r="1" spans="1:3" x14ac:dyDescent="0.25">
      <c r="A1" s="148" t="s">
        <v>66</v>
      </c>
      <c r="B1" s="149" t="s">
        <v>67</v>
      </c>
      <c r="C1" s="150"/>
    </row>
    <row r="2" spans="1:3" ht="31.5" x14ac:dyDescent="0.25">
      <c r="A2" s="151" t="s">
        <v>68</v>
      </c>
      <c r="B2" s="254" t="s">
        <v>562</v>
      </c>
      <c r="C2" s="254"/>
    </row>
    <row r="3" spans="1:3" ht="18.75" x14ac:dyDescent="0.25">
      <c r="A3" s="149"/>
      <c r="B3" s="178" t="s">
        <v>563</v>
      </c>
      <c r="C3" s="152"/>
    </row>
    <row r="4" spans="1:3" x14ac:dyDescent="0.25">
      <c r="A4" s="151" t="s">
        <v>71</v>
      </c>
      <c r="B4" s="152" t="s">
        <v>203</v>
      </c>
      <c r="C4" s="152"/>
    </row>
    <row r="7" spans="1:3" ht="63" x14ac:dyDescent="0.25">
      <c r="A7" s="153" t="s">
        <v>0</v>
      </c>
      <c r="B7" s="153" t="s">
        <v>1</v>
      </c>
      <c r="C7" s="153" t="s">
        <v>2</v>
      </c>
    </row>
    <row r="8" spans="1:3" x14ac:dyDescent="0.25">
      <c r="A8" s="153">
        <v>1</v>
      </c>
      <c r="B8" s="153">
        <v>2</v>
      </c>
      <c r="C8" s="153">
        <v>3</v>
      </c>
    </row>
    <row r="9" spans="1:3" x14ac:dyDescent="0.25">
      <c r="A9" s="154"/>
      <c r="B9" s="153" t="s">
        <v>3</v>
      </c>
      <c r="C9" s="153" t="s">
        <v>4</v>
      </c>
    </row>
    <row r="10" spans="1:3" x14ac:dyDescent="0.25">
      <c r="A10" s="154"/>
      <c r="B10" s="157" t="s">
        <v>564</v>
      </c>
      <c r="C10" s="153"/>
    </row>
    <row r="11" spans="1:3" ht="78.75" x14ac:dyDescent="0.25">
      <c r="A11" s="156">
        <v>1100</v>
      </c>
      <c r="B11" s="157" t="s">
        <v>565</v>
      </c>
      <c r="C11" s="158">
        <f>12.97*0.66</f>
        <v>8.5602</v>
      </c>
    </row>
    <row r="12" spans="1:3" x14ac:dyDescent="0.25">
      <c r="A12" s="156">
        <v>2100</v>
      </c>
      <c r="B12" s="157" t="s">
        <v>566</v>
      </c>
      <c r="C12" s="158">
        <v>3.14</v>
      </c>
    </row>
    <row r="13" spans="1:3" x14ac:dyDescent="0.25">
      <c r="A13" s="156">
        <v>2250</v>
      </c>
      <c r="B13" s="161" t="s">
        <v>28</v>
      </c>
      <c r="C13" s="158">
        <v>0.92</v>
      </c>
    </row>
    <row r="14" spans="1:3" x14ac:dyDescent="0.25">
      <c r="A14" s="154"/>
      <c r="B14" s="160" t="s">
        <v>554</v>
      </c>
      <c r="C14" s="158">
        <f>C11+C12+C13</f>
        <v>12.620200000000001</v>
      </c>
    </row>
    <row r="15" spans="1:3" x14ac:dyDescent="0.25">
      <c r="A15" s="129"/>
      <c r="B15" s="160" t="s">
        <v>8</v>
      </c>
      <c r="C15" s="158">
        <f>C14</f>
        <v>12.620200000000001</v>
      </c>
    </row>
    <row r="16" spans="1:3" x14ac:dyDescent="0.25">
      <c r="A16" s="154"/>
      <c r="B16" s="153" t="s">
        <v>9</v>
      </c>
      <c r="C16" s="158" t="s">
        <v>4</v>
      </c>
    </row>
    <row r="17" spans="1:4" x14ac:dyDescent="0.25">
      <c r="A17" s="153">
        <v>1100</v>
      </c>
      <c r="B17" s="166" t="s">
        <v>10</v>
      </c>
      <c r="C17" s="158">
        <v>0.14000000000000001</v>
      </c>
    </row>
    <row r="18" spans="1:4" x14ac:dyDescent="0.25">
      <c r="A18" s="129">
        <v>2210</v>
      </c>
      <c r="B18" s="167" t="s">
        <v>11</v>
      </c>
      <c r="C18" s="159">
        <v>0.05</v>
      </c>
    </row>
    <row r="19" spans="1:4" x14ac:dyDescent="0.25">
      <c r="A19" s="129">
        <v>2220</v>
      </c>
      <c r="B19" s="167" t="s">
        <v>12</v>
      </c>
      <c r="C19" s="159">
        <v>0.18</v>
      </c>
    </row>
    <row r="20" spans="1:4" x14ac:dyDescent="0.25">
      <c r="A20" s="129">
        <v>2240</v>
      </c>
      <c r="B20" s="167" t="s">
        <v>56</v>
      </c>
      <c r="C20" s="158">
        <v>0.47</v>
      </c>
    </row>
    <row r="21" spans="1:4" x14ac:dyDescent="0.25">
      <c r="A21" s="129">
        <v>2310</v>
      </c>
      <c r="B21" s="167" t="s">
        <v>15</v>
      </c>
      <c r="C21" s="158">
        <v>0.09</v>
      </c>
    </row>
    <row r="22" spans="1:4" x14ac:dyDescent="0.25">
      <c r="A22" s="176" t="s">
        <v>559</v>
      </c>
      <c r="B22" s="177" t="s">
        <v>14</v>
      </c>
      <c r="C22" s="158">
        <v>0.08</v>
      </c>
    </row>
    <row r="23" spans="1:4" x14ac:dyDescent="0.25">
      <c r="A23" s="162">
        <v>5200</v>
      </c>
      <c r="B23" s="168" t="s">
        <v>201</v>
      </c>
      <c r="C23" s="158">
        <v>0.09</v>
      </c>
    </row>
    <row r="24" spans="1:4" x14ac:dyDescent="0.25">
      <c r="A24" s="154"/>
      <c r="B24" s="160" t="s">
        <v>17</v>
      </c>
      <c r="C24" s="158">
        <f>SUM(C17:C23)</f>
        <v>1.1000000000000001</v>
      </c>
    </row>
    <row r="25" spans="1:4" x14ac:dyDescent="0.25">
      <c r="A25" s="153"/>
      <c r="B25" s="169" t="s">
        <v>18</v>
      </c>
      <c r="C25" s="158">
        <f>ROUND((C15+C24),2)</f>
        <v>13.72</v>
      </c>
      <c r="D25" s="228"/>
    </row>
    <row r="26" spans="1:4" x14ac:dyDescent="0.25">
      <c r="A26" s="257" t="s">
        <v>19</v>
      </c>
      <c r="B26" s="257"/>
      <c r="C26" s="162">
        <v>1</v>
      </c>
    </row>
    <row r="27" spans="1:4" x14ac:dyDescent="0.25">
      <c r="A27" s="257" t="s">
        <v>528</v>
      </c>
      <c r="B27" s="257"/>
      <c r="C27" s="159">
        <f>C25</f>
        <v>13.72</v>
      </c>
    </row>
    <row r="28" spans="1:4" x14ac:dyDescent="0.25">
      <c r="A28" s="257" t="s">
        <v>21</v>
      </c>
      <c r="B28" s="257"/>
      <c r="C28" s="162">
        <v>1978</v>
      </c>
    </row>
    <row r="29" spans="1:4" x14ac:dyDescent="0.25">
      <c r="A29" s="257" t="s">
        <v>529</v>
      </c>
      <c r="B29" s="257"/>
      <c r="C29" s="159">
        <f>C28*C27</f>
        <v>27138.16</v>
      </c>
    </row>
  </sheetData>
  <mergeCells count="5">
    <mergeCell ref="B2:C2"/>
    <mergeCell ref="A26:B26"/>
    <mergeCell ref="A27:B27"/>
    <mergeCell ref="A28:B28"/>
    <mergeCell ref="A29:B2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9B4B-4C1D-4D46-B3F2-76EE8F41038C}">
  <sheetPr>
    <tabColor theme="9" tint="0.79998168889431442"/>
  </sheetPr>
  <dimension ref="A1:D34"/>
  <sheetViews>
    <sheetView topLeftCell="A13" zoomScale="85" zoomScaleNormal="85" workbookViewId="0">
      <selection activeCell="A34" sqref="A34:C34"/>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4" x14ac:dyDescent="0.25">
      <c r="A1" s="148" t="s">
        <v>66</v>
      </c>
      <c r="B1" s="149" t="s">
        <v>67</v>
      </c>
      <c r="C1" s="150"/>
    </row>
    <row r="2" spans="1:4" ht="31.5" x14ac:dyDescent="0.25">
      <c r="A2" s="151" t="s">
        <v>68</v>
      </c>
      <c r="B2" s="254" t="s">
        <v>567</v>
      </c>
      <c r="C2" s="254"/>
    </row>
    <row r="3" spans="1:4" x14ac:dyDescent="0.25">
      <c r="A3" s="149"/>
      <c r="B3" s="178" t="s">
        <v>568</v>
      </c>
      <c r="C3" s="152"/>
    </row>
    <row r="4" spans="1:4" x14ac:dyDescent="0.25">
      <c r="A4" s="149"/>
      <c r="B4" s="170" t="s">
        <v>569</v>
      </c>
      <c r="C4" s="152"/>
    </row>
    <row r="5" spans="1:4" x14ac:dyDescent="0.25">
      <c r="A5" s="151" t="s">
        <v>71</v>
      </c>
      <c r="B5" s="152" t="s">
        <v>203</v>
      </c>
      <c r="C5" s="152"/>
    </row>
    <row r="7" spans="1:4" ht="16.5" thickBot="1" x14ac:dyDescent="0.3"/>
    <row r="8" spans="1:4" ht="63.75" thickBot="1" x14ac:dyDescent="0.3">
      <c r="A8" s="33" t="s">
        <v>0</v>
      </c>
      <c r="B8" s="33" t="s">
        <v>1</v>
      </c>
      <c r="C8" s="33" t="s">
        <v>2</v>
      </c>
    </row>
    <row r="9" spans="1:4" ht="16.5" thickBot="1" x14ac:dyDescent="0.3">
      <c r="A9" s="33">
        <v>1</v>
      </c>
      <c r="B9" s="33">
        <v>2</v>
      </c>
      <c r="C9" s="33">
        <v>3</v>
      </c>
    </row>
    <row r="10" spans="1:4" ht="16.5" thickBot="1" x14ac:dyDescent="0.3">
      <c r="A10" s="34"/>
      <c r="B10" s="33" t="s">
        <v>3</v>
      </c>
      <c r="C10" s="33" t="s">
        <v>4</v>
      </c>
    </row>
    <row r="11" spans="1:4" ht="16.5" thickBot="1" x14ac:dyDescent="0.3">
      <c r="A11" s="34"/>
      <c r="B11" s="37" t="s">
        <v>241</v>
      </c>
      <c r="C11" s="33"/>
    </row>
    <row r="12" spans="1:4" ht="79.5" thickBot="1" x14ac:dyDescent="0.3">
      <c r="A12" s="3">
        <v>1100</v>
      </c>
      <c r="B12" s="179" t="s">
        <v>599</v>
      </c>
      <c r="C12" s="36">
        <f>ROUND((12.97*1.2275),2)</f>
        <v>15.92</v>
      </c>
      <c r="D12" s="216"/>
    </row>
    <row r="13" spans="1:4" ht="79.5" thickBot="1" x14ac:dyDescent="0.3">
      <c r="A13" s="3">
        <v>1100</v>
      </c>
      <c r="B13" s="179" t="s">
        <v>243</v>
      </c>
      <c r="C13" s="36">
        <f>ROUND((12.97*0.667),2)</f>
        <v>8.65</v>
      </c>
    </row>
    <row r="14" spans="1:4" ht="48" thickBot="1" x14ac:dyDescent="0.3">
      <c r="A14" s="33">
        <v>2322</v>
      </c>
      <c r="B14" s="37" t="s">
        <v>244</v>
      </c>
      <c r="C14" s="36">
        <f>ROUND((4.5*1.73),2)</f>
        <v>7.79</v>
      </c>
    </row>
    <row r="15" spans="1:4" ht="16.5" thickBot="1" x14ac:dyDescent="0.3">
      <c r="A15" s="33">
        <v>2310</v>
      </c>
      <c r="B15" s="37" t="s">
        <v>245</v>
      </c>
      <c r="C15" s="36">
        <v>0.16</v>
      </c>
    </row>
    <row r="16" spans="1:4" ht="16.5" thickBot="1" x14ac:dyDescent="0.3">
      <c r="A16" s="33">
        <v>2210</v>
      </c>
      <c r="B16" s="37" t="s">
        <v>246</v>
      </c>
      <c r="C16" s="36">
        <v>0.22</v>
      </c>
    </row>
    <row r="17" spans="1:4" ht="16.5" thickBot="1" x14ac:dyDescent="0.3">
      <c r="A17" s="33"/>
      <c r="B17" s="39" t="s">
        <v>247</v>
      </c>
      <c r="C17" s="36">
        <f>C12+C13+C14+C15+C16</f>
        <v>32.739999999999995</v>
      </c>
    </row>
    <row r="18" spans="1:4" ht="16.5" thickBot="1" x14ac:dyDescent="0.3">
      <c r="A18" s="130"/>
      <c r="B18" s="39" t="s">
        <v>8</v>
      </c>
      <c r="C18" s="103">
        <f>C17</f>
        <v>32.739999999999995</v>
      </c>
    </row>
    <row r="19" spans="1:4" ht="16.5" thickBot="1" x14ac:dyDescent="0.3">
      <c r="A19" s="34"/>
      <c r="B19" s="33" t="s">
        <v>9</v>
      </c>
      <c r="C19" s="36" t="s">
        <v>4</v>
      </c>
    </row>
    <row r="20" spans="1:4" ht="16.5" thickBot="1" x14ac:dyDescent="0.3">
      <c r="A20" s="1">
        <v>1100</v>
      </c>
      <c r="B20" s="180" t="s">
        <v>10</v>
      </c>
      <c r="C20" s="36">
        <v>1.06</v>
      </c>
    </row>
    <row r="21" spans="1:4" ht="16.5" thickBot="1" x14ac:dyDescent="0.3">
      <c r="A21" s="181">
        <v>2210</v>
      </c>
      <c r="B21" s="182" t="s">
        <v>11</v>
      </c>
      <c r="C21" s="92">
        <v>0.35</v>
      </c>
    </row>
    <row r="22" spans="1:4" ht="16.5" thickBot="1" x14ac:dyDescent="0.3">
      <c r="A22" s="183">
        <v>2242</v>
      </c>
      <c r="B22" s="184" t="s">
        <v>31</v>
      </c>
      <c r="C22" s="103">
        <v>0.52</v>
      </c>
    </row>
    <row r="23" spans="1:4" ht="16.5" thickBot="1" x14ac:dyDescent="0.3">
      <c r="A23" s="185">
        <v>2310</v>
      </c>
      <c r="B23" s="186" t="s">
        <v>15</v>
      </c>
      <c r="C23" s="103">
        <v>0.67</v>
      </c>
    </row>
    <row r="24" spans="1:4" ht="16.5" thickBot="1" x14ac:dyDescent="0.3">
      <c r="A24" s="46">
        <v>5200</v>
      </c>
      <c r="B24" s="187" t="s">
        <v>201</v>
      </c>
      <c r="C24" s="103">
        <v>0.67</v>
      </c>
    </row>
    <row r="25" spans="1:4" ht="16.5" thickBot="1" x14ac:dyDescent="0.3">
      <c r="A25" s="58"/>
      <c r="B25" s="139" t="s">
        <v>17</v>
      </c>
      <c r="C25" s="36">
        <f>SUM(C20:C24)</f>
        <v>3.27</v>
      </c>
    </row>
    <row r="26" spans="1:4" ht="16.5" thickBot="1" x14ac:dyDescent="0.3">
      <c r="A26" s="33"/>
      <c r="B26" s="45" t="s">
        <v>18</v>
      </c>
      <c r="C26" s="36">
        <f>C18+C25</f>
        <v>36.01</v>
      </c>
      <c r="D26" s="171"/>
    </row>
    <row r="27" spans="1:4" ht="15.95" customHeight="1" thickBot="1" x14ac:dyDescent="0.3">
      <c r="A27" s="264" t="s">
        <v>19</v>
      </c>
      <c r="B27" s="265"/>
      <c r="C27" s="48">
        <v>1</v>
      </c>
    </row>
    <row r="28" spans="1:4" ht="15.95" customHeight="1" thickBot="1" x14ac:dyDescent="0.3">
      <c r="A28" s="252" t="s">
        <v>20</v>
      </c>
      <c r="B28" s="253"/>
      <c r="C28" s="23">
        <f>C26</f>
        <v>36.01</v>
      </c>
    </row>
    <row r="29" spans="1:4" ht="15.95" customHeight="1" thickBot="1" x14ac:dyDescent="0.3">
      <c r="A29" s="252" t="s">
        <v>21</v>
      </c>
      <c r="B29" s="253"/>
      <c r="C29" s="46">
        <v>749</v>
      </c>
    </row>
    <row r="30" spans="1:4" ht="15.95" customHeight="1" x14ac:dyDescent="0.25">
      <c r="A30" s="252" t="s">
        <v>22</v>
      </c>
      <c r="B30" s="253"/>
      <c r="C30" s="244">
        <f>C29*C28</f>
        <v>26971.489999999998</v>
      </c>
    </row>
    <row r="31" spans="1:4" x14ac:dyDescent="0.25">
      <c r="C31" s="246">
        <v>15.31</v>
      </c>
    </row>
    <row r="32" spans="1:4" x14ac:dyDescent="0.25">
      <c r="C32" s="245">
        <v>749</v>
      </c>
    </row>
    <row r="33" spans="1:3" x14ac:dyDescent="0.25">
      <c r="C33" s="245">
        <f>C31*C32</f>
        <v>11467.19</v>
      </c>
    </row>
    <row r="34" spans="1:3" ht="32.1" customHeight="1" x14ac:dyDescent="0.25">
      <c r="A34" s="263" t="s">
        <v>701</v>
      </c>
      <c r="B34" s="263"/>
      <c r="C34" s="263"/>
    </row>
  </sheetData>
  <mergeCells count="6">
    <mergeCell ref="A34:C34"/>
    <mergeCell ref="B2:C2"/>
    <mergeCell ref="A27:B27"/>
    <mergeCell ref="A28:B28"/>
    <mergeCell ref="A29:B29"/>
    <mergeCell ref="A30:B3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299D9-FA71-4C4B-B06E-392419D9C3C8}">
  <sheetPr>
    <tabColor theme="9" tint="0.79998168889431442"/>
  </sheetPr>
  <dimension ref="A1:D30"/>
  <sheetViews>
    <sheetView topLeftCell="A8" zoomScale="85" zoomScaleNormal="85" workbookViewId="0">
      <selection activeCell="A8" sqref="A8:C30"/>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570</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599</v>
      </c>
      <c r="C12" s="36">
        <f>ROUND((12.97*1.2275),2)</f>
        <v>15.92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4" ht="16.5" thickBot="1" x14ac:dyDescent="0.3">
      <c r="A17" s="33"/>
      <c r="B17" s="39" t="s">
        <v>247</v>
      </c>
      <c r="C17" s="36">
        <f>C12+C13+C14+C15+C16</f>
        <v>32.739999999999995</v>
      </c>
    </row>
    <row r="18" spans="1:4" ht="16.5" thickBot="1" x14ac:dyDescent="0.3">
      <c r="A18" s="130"/>
      <c r="B18" s="39" t="s">
        <v>8</v>
      </c>
      <c r="C18" s="103">
        <f>C17</f>
        <v>32.739999999999995</v>
      </c>
    </row>
    <row r="19" spans="1:4" ht="16.5" thickBot="1" x14ac:dyDescent="0.3">
      <c r="A19" s="34"/>
      <c r="B19" s="33" t="s">
        <v>9</v>
      </c>
      <c r="C19" s="36" t="s">
        <v>4</v>
      </c>
    </row>
    <row r="20" spans="1:4" ht="16.5" thickBot="1" x14ac:dyDescent="0.3">
      <c r="A20" s="1">
        <v>1100</v>
      </c>
      <c r="B20" s="180" t="s">
        <v>10</v>
      </c>
      <c r="C20" s="36">
        <v>1.06</v>
      </c>
    </row>
    <row r="21" spans="1:4" ht="16.5" thickBot="1" x14ac:dyDescent="0.3">
      <c r="A21" s="181">
        <v>2210</v>
      </c>
      <c r="B21" s="182" t="s">
        <v>11</v>
      </c>
      <c r="C21" s="92">
        <v>0.35</v>
      </c>
    </row>
    <row r="22" spans="1:4" ht="16.5" thickBot="1" x14ac:dyDescent="0.3">
      <c r="A22" s="183">
        <v>2242</v>
      </c>
      <c r="B22" s="184" t="s">
        <v>31</v>
      </c>
      <c r="C22" s="103">
        <v>0.52</v>
      </c>
    </row>
    <row r="23" spans="1:4" ht="16.5" thickBot="1" x14ac:dyDescent="0.3">
      <c r="A23" s="185">
        <v>2310</v>
      </c>
      <c r="B23" s="186" t="s">
        <v>15</v>
      </c>
      <c r="C23" s="103">
        <v>0.67</v>
      </c>
    </row>
    <row r="24" spans="1:4" ht="16.5" thickBot="1" x14ac:dyDescent="0.3">
      <c r="A24" s="46">
        <v>5200</v>
      </c>
      <c r="B24" s="187" t="s">
        <v>201</v>
      </c>
      <c r="C24" s="103">
        <v>0.67</v>
      </c>
    </row>
    <row r="25" spans="1:4" ht="16.5" thickBot="1" x14ac:dyDescent="0.3">
      <c r="A25" s="58"/>
      <c r="B25" s="139" t="s">
        <v>17</v>
      </c>
      <c r="C25" s="36">
        <f>SUM(C20:C24)</f>
        <v>3.27</v>
      </c>
    </row>
    <row r="26" spans="1:4" ht="16.5" thickBot="1" x14ac:dyDescent="0.3">
      <c r="A26" s="33"/>
      <c r="B26" s="45" t="s">
        <v>18</v>
      </c>
      <c r="C26" s="36">
        <f>C18+C25</f>
        <v>36.01</v>
      </c>
      <c r="D26" s="215"/>
    </row>
    <row r="27" spans="1:4" ht="16.5" thickBot="1" x14ac:dyDescent="0.3">
      <c r="A27" s="264" t="s">
        <v>19</v>
      </c>
      <c r="B27" s="265"/>
      <c r="C27" s="48">
        <v>1</v>
      </c>
    </row>
    <row r="28" spans="1:4" ht="16.5" thickBot="1" x14ac:dyDescent="0.3">
      <c r="A28" s="252" t="s">
        <v>20</v>
      </c>
      <c r="B28" s="253"/>
      <c r="C28" s="23">
        <f>C26</f>
        <v>36.01</v>
      </c>
    </row>
    <row r="29" spans="1:4" ht="16.5" thickBot="1" x14ac:dyDescent="0.3">
      <c r="A29" s="252" t="s">
        <v>21</v>
      </c>
      <c r="B29" s="253"/>
      <c r="C29" s="46">
        <v>749</v>
      </c>
    </row>
    <row r="30" spans="1:4" ht="16.5" thickBot="1" x14ac:dyDescent="0.3">
      <c r="A30" s="252" t="s">
        <v>22</v>
      </c>
      <c r="B30" s="253"/>
      <c r="C30" s="47">
        <f>C29*C28</f>
        <v>26971.489999999998</v>
      </c>
    </row>
  </sheetData>
  <mergeCells count="5">
    <mergeCell ref="B2:C2"/>
    <mergeCell ref="A27:B27"/>
    <mergeCell ref="A28:B28"/>
    <mergeCell ref="A29:B29"/>
    <mergeCell ref="A30:B3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7558-CEBC-4078-997C-6B4129FE1FFD}">
  <sheetPr>
    <tabColor theme="9" tint="0.79998168889431442"/>
  </sheetPr>
  <dimension ref="A1:D30"/>
  <sheetViews>
    <sheetView zoomScale="70" zoomScaleNormal="70" workbookViewId="0">
      <selection activeCell="A8" sqref="A8"/>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568</v>
      </c>
      <c r="C3" s="152"/>
    </row>
    <row r="4" spans="1:3" x14ac:dyDescent="0.25">
      <c r="A4" s="149"/>
      <c r="B4" s="170" t="s">
        <v>571</v>
      </c>
      <c r="C4" s="152"/>
    </row>
    <row r="5" spans="1:3" x14ac:dyDescent="0.25">
      <c r="A5" s="151" t="s">
        <v>71</v>
      </c>
      <c r="B5" s="152" t="s">
        <v>203</v>
      </c>
      <c r="C5" s="152"/>
    </row>
    <row r="7" spans="1:3" ht="16.5" thickBot="1" x14ac:dyDescent="0.3"/>
    <row r="8" spans="1:3" ht="63.75" thickBot="1" x14ac:dyDescent="0.3">
      <c r="A8" s="188" t="s">
        <v>0</v>
      </c>
      <c r="B8" s="188" t="s">
        <v>1</v>
      </c>
      <c r="C8" s="188" t="s">
        <v>2</v>
      </c>
    </row>
    <row r="9" spans="1:3" ht="16.5" thickBot="1" x14ac:dyDescent="0.3">
      <c r="A9" s="188">
        <v>1</v>
      </c>
      <c r="B9" s="188">
        <v>2</v>
      </c>
      <c r="C9" s="188">
        <v>3</v>
      </c>
    </row>
    <row r="10" spans="1:3" ht="16.5" thickBot="1" x14ac:dyDescent="0.3">
      <c r="A10" s="189"/>
      <c r="B10" s="188" t="s">
        <v>3</v>
      </c>
      <c r="C10" s="188" t="s">
        <v>4</v>
      </c>
    </row>
    <row r="11" spans="1:3" ht="16.5" thickBot="1" x14ac:dyDescent="0.3">
      <c r="A11" s="189"/>
      <c r="B11" s="190" t="s">
        <v>241</v>
      </c>
      <c r="C11" s="188"/>
    </row>
    <row r="12" spans="1:3" ht="79.5" thickBot="1" x14ac:dyDescent="0.3">
      <c r="A12" s="191">
        <v>1100</v>
      </c>
      <c r="B12" s="192" t="s">
        <v>600</v>
      </c>
      <c r="C12" s="193">
        <f>ROUND((12.97*2.677),2)</f>
        <v>34.72</v>
      </c>
    </row>
    <row r="13" spans="1:3" ht="79.5" thickBot="1" x14ac:dyDescent="0.3">
      <c r="A13" s="191">
        <v>1100</v>
      </c>
      <c r="B13" s="192" t="s">
        <v>243</v>
      </c>
      <c r="C13" s="193">
        <f>ROUND((12.97*0.667),2)</f>
        <v>8.65</v>
      </c>
    </row>
    <row r="14" spans="1:3" ht="48" thickBot="1" x14ac:dyDescent="0.3">
      <c r="A14" s="188">
        <v>2322</v>
      </c>
      <c r="B14" s="190" t="s">
        <v>244</v>
      </c>
      <c r="C14" s="193">
        <f>ROUND((4.5*1.73),2)</f>
        <v>7.79</v>
      </c>
    </row>
    <row r="15" spans="1:3" ht="16.5" thickBot="1" x14ac:dyDescent="0.3">
      <c r="A15" s="188">
        <v>2310</v>
      </c>
      <c r="B15" s="190" t="s">
        <v>245</v>
      </c>
      <c r="C15" s="193">
        <v>0.16</v>
      </c>
    </row>
    <row r="16" spans="1:3" ht="16.5" thickBot="1" x14ac:dyDescent="0.3">
      <c r="A16" s="188">
        <v>2210</v>
      </c>
      <c r="B16" s="190" t="s">
        <v>246</v>
      </c>
      <c r="C16" s="193">
        <v>0.22</v>
      </c>
    </row>
    <row r="17" spans="1:4" ht="16.5" thickBot="1" x14ac:dyDescent="0.3">
      <c r="A17" s="188"/>
      <c r="B17" s="194" t="s">
        <v>247</v>
      </c>
      <c r="C17" s="193">
        <f>C12+C13+C14+C15+C16</f>
        <v>51.539999999999992</v>
      </c>
    </row>
    <row r="18" spans="1:4" ht="16.5" thickBot="1" x14ac:dyDescent="0.3">
      <c r="A18" s="213"/>
      <c r="B18" s="194" t="s">
        <v>8</v>
      </c>
      <c r="C18" s="195">
        <f>C17</f>
        <v>51.539999999999992</v>
      </c>
    </row>
    <row r="19" spans="1:4" ht="16.5" thickBot="1" x14ac:dyDescent="0.3">
      <c r="A19" s="189"/>
      <c r="B19" s="188" t="s">
        <v>9</v>
      </c>
      <c r="C19" s="193" t="s">
        <v>4</v>
      </c>
    </row>
    <row r="20" spans="1:4" ht="16.5" thickBot="1" x14ac:dyDescent="0.3">
      <c r="A20" s="196">
        <v>1100</v>
      </c>
      <c r="B20" s="197" t="s">
        <v>10</v>
      </c>
      <c r="C20" s="193">
        <v>1.67</v>
      </c>
    </row>
    <row r="21" spans="1:4" ht="16.5" thickBot="1" x14ac:dyDescent="0.3">
      <c r="A21" s="198">
        <v>2210</v>
      </c>
      <c r="B21" s="199" t="s">
        <v>11</v>
      </c>
      <c r="C21" s="200">
        <v>0.56000000000000005</v>
      </c>
    </row>
    <row r="22" spans="1:4" ht="16.5" thickBot="1" x14ac:dyDescent="0.3">
      <c r="A22" s="201">
        <v>2242</v>
      </c>
      <c r="B22" s="202" t="s">
        <v>31</v>
      </c>
      <c r="C22" s="195">
        <v>0.82</v>
      </c>
    </row>
    <row r="23" spans="1:4" ht="16.5" thickBot="1" x14ac:dyDescent="0.3">
      <c r="A23" s="203">
        <v>2310</v>
      </c>
      <c r="B23" s="204" t="s">
        <v>15</v>
      </c>
      <c r="C23" s="195">
        <v>1.05</v>
      </c>
    </row>
    <row r="24" spans="1:4" ht="16.5" thickBot="1" x14ac:dyDescent="0.3">
      <c r="A24" s="205">
        <v>5200</v>
      </c>
      <c r="B24" s="206" t="s">
        <v>201</v>
      </c>
      <c r="C24" s="195">
        <v>1.07</v>
      </c>
    </row>
    <row r="25" spans="1:4" ht="16.5" thickBot="1" x14ac:dyDescent="0.3">
      <c r="A25" s="207"/>
      <c r="B25" s="208" t="s">
        <v>17</v>
      </c>
      <c r="C25" s="193">
        <f>SUM(C20:C24)</f>
        <v>5.17</v>
      </c>
    </row>
    <row r="26" spans="1:4" ht="16.5" thickBot="1" x14ac:dyDescent="0.3">
      <c r="A26" s="188"/>
      <c r="B26" s="209" t="s">
        <v>18</v>
      </c>
      <c r="C26" s="193">
        <f>C18+C25</f>
        <v>56.709999999999994</v>
      </c>
      <c r="D26" s="171"/>
    </row>
    <row r="27" spans="1:4" ht="16.5" thickBot="1" x14ac:dyDescent="0.3">
      <c r="A27" s="266" t="s">
        <v>19</v>
      </c>
      <c r="B27" s="267"/>
      <c r="C27" s="210">
        <v>1</v>
      </c>
    </row>
    <row r="28" spans="1:4" ht="16.5" thickBot="1" x14ac:dyDescent="0.3">
      <c r="A28" s="254" t="s">
        <v>528</v>
      </c>
      <c r="B28" s="268"/>
      <c r="C28" s="211">
        <f>C26</f>
        <v>56.709999999999994</v>
      </c>
    </row>
    <row r="29" spans="1:4" ht="16.5" thickBot="1" x14ac:dyDescent="0.3">
      <c r="A29" s="254" t="s">
        <v>21</v>
      </c>
      <c r="B29" s="268"/>
      <c r="C29" s="205">
        <v>749</v>
      </c>
    </row>
    <row r="30" spans="1:4" ht="16.5" thickBot="1" x14ac:dyDescent="0.3">
      <c r="A30" s="254" t="s">
        <v>529</v>
      </c>
      <c r="B30" s="268"/>
      <c r="C30" s="212">
        <f>C29*C28</f>
        <v>42475.789999999994</v>
      </c>
    </row>
  </sheetData>
  <mergeCells count="5">
    <mergeCell ref="B2:C2"/>
    <mergeCell ref="A27:B27"/>
    <mergeCell ref="A28:B28"/>
    <mergeCell ref="A29:B29"/>
    <mergeCell ref="A30:B3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BFAA-C70F-47A6-BD91-3EE0CF8FFA17}">
  <sheetPr>
    <tabColor theme="9" tint="0.79998168889431442"/>
  </sheetPr>
  <dimension ref="A1:D30"/>
  <sheetViews>
    <sheetView zoomScale="70" zoomScaleNormal="70" workbookViewId="0">
      <selection activeCell="A2" sqref="A2"/>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568</v>
      </c>
      <c r="C3" s="152"/>
    </row>
    <row r="4" spans="1:3" x14ac:dyDescent="0.25">
      <c r="A4" s="149"/>
      <c r="B4" s="170" t="s">
        <v>572</v>
      </c>
      <c r="C4" s="152"/>
    </row>
    <row r="5" spans="1:3" x14ac:dyDescent="0.25">
      <c r="A5" s="151" t="s">
        <v>71</v>
      </c>
      <c r="B5" s="152" t="s">
        <v>203</v>
      </c>
      <c r="C5" s="152"/>
    </row>
    <row r="7" spans="1:3" ht="16.5" thickBot="1" x14ac:dyDescent="0.3"/>
    <row r="8" spans="1:3" ht="63.75" thickBot="1" x14ac:dyDescent="0.3">
      <c r="A8" s="188" t="s">
        <v>0</v>
      </c>
      <c r="B8" s="188" t="s">
        <v>1</v>
      </c>
      <c r="C8" s="188" t="s">
        <v>2</v>
      </c>
    </row>
    <row r="9" spans="1:3" ht="16.5" thickBot="1" x14ac:dyDescent="0.3">
      <c r="A9" s="188">
        <v>1</v>
      </c>
      <c r="B9" s="188">
        <v>2</v>
      </c>
      <c r="C9" s="188">
        <v>3</v>
      </c>
    </row>
    <row r="10" spans="1:3" ht="16.5" thickBot="1" x14ac:dyDescent="0.3">
      <c r="A10" s="189"/>
      <c r="B10" s="188" t="s">
        <v>3</v>
      </c>
      <c r="C10" s="188" t="s">
        <v>4</v>
      </c>
    </row>
    <row r="11" spans="1:3" ht="16.5" thickBot="1" x14ac:dyDescent="0.3">
      <c r="A11" s="189"/>
      <c r="B11" s="190" t="s">
        <v>241</v>
      </c>
      <c r="C11" s="188"/>
    </row>
    <row r="12" spans="1:3" ht="79.5" thickBot="1" x14ac:dyDescent="0.3">
      <c r="A12" s="191">
        <v>1100</v>
      </c>
      <c r="B12" s="192" t="s">
        <v>601</v>
      </c>
      <c r="C12" s="193">
        <f>ROUND((12.97*4.129),2)</f>
        <v>53.55</v>
      </c>
    </row>
    <row r="13" spans="1:3" ht="79.5" thickBot="1" x14ac:dyDescent="0.3">
      <c r="A13" s="191">
        <v>1100</v>
      </c>
      <c r="B13" s="192" t="s">
        <v>243</v>
      </c>
      <c r="C13" s="193">
        <f>ROUND((12.97*0.667),2)</f>
        <v>8.65</v>
      </c>
    </row>
    <row r="14" spans="1:3" ht="48" thickBot="1" x14ac:dyDescent="0.3">
      <c r="A14" s="188">
        <v>2322</v>
      </c>
      <c r="B14" s="190" t="s">
        <v>244</v>
      </c>
      <c r="C14" s="193">
        <f>ROUND((4.5*1.73),2)</f>
        <v>7.79</v>
      </c>
    </row>
    <row r="15" spans="1:3" ht="16.5" thickBot="1" x14ac:dyDescent="0.3">
      <c r="A15" s="188">
        <v>2310</v>
      </c>
      <c r="B15" s="190" t="s">
        <v>245</v>
      </c>
      <c r="C15" s="193">
        <v>0.16</v>
      </c>
    </row>
    <row r="16" spans="1:3" ht="16.5" thickBot="1" x14ac:dyDescent="0.3">
      <c r="A16" s="188">
        <v>2210</v>
      </c>
      <c r="B16" s="190" t="s">
        <v>246</v>
      </c>
      <c r="C16" s="193">
        <v>0.22</v>
      </c>
    </row>
    <row r="17" spans="1:4" ht="16.5" thickBot="1" x14ac:dyDescent="0.3">
      <c r="A17" s="188"/>
      <c r="B17" s="194" t="s">
        <v>247</v>
      </c>
      <c r="C17" s="193">
        <f>C12+C13+C14+C15+C16</f>
        <v>70.36999999999999</v>
      </c>
    </row>
    <row r="18" spans="1:4" ht="16.5" thickBot="1" x14ac:dyDescent="0.3">
      <c r="A18" s="213"/>
      <c r="B18" s="194" t="s">
        <v>8</v>
      </c>
      <c r="C18" s="195">
        <f>C17</f>
        <v>70.36999999999999</v>
      </c>
    </row>
    <row r="19" spans="1:4" ht="16.5" thickBot="1" x14ac:dyDescent="0.3">
      <c r="A19" s="189"/>
      <c r="B19" s="188" t="s">
        <v>9</v>
      </c>
      <c r="C19" s="193" t="s">
        <v>4</v>
      </c>
    </row>
    <row r="20" spans="1:4" ht="16.5" thickBot="1" x14ac:dyDescent="0.3">
      <c r="A20" s="196">
        <v>1100</v>
      </c>
      <c r="B20" s="197" t="s">
        <v>10</v>
      </c>
      <c r="C20" s="193">
        <v>2.27</v>
      </c>
    </row>
    <row r="21" spans="1:4" ht="16.5" thickBot="1" x14ac:dyDescent="0.3">
      <c r="A21" s="198">
        <v>2210</v>
      </c>
      <c r="B21" s="199" t="s">
        <v>11</v>
      </c>
      <c r="C21" s="200">
        <v>0.76</v>
      </c>
    </row>
    <row r="22" spans="1:4" ht="16.5" thickBot="1" x14ac:dyDescent="0.3">
      <c r="A22" s="201">
        <v>2242</v>
      </c>
      <c r="B22" s="202" t="s">
        <v>31</v>
      </c>
      <c r="C22" s="195">
        <v>1.1200000000000001</v>
      </c>
    </row>
    <row r="23" spans="1:4" ht="16.5" thickBot="1" x14ac:dyDescent="0.3">
      <c r="A23" s="203">
        <v>2310</v>
      </c>
      <c r="B23" s="204" t="s">
        <v>15</v>
      </c>
      <c r="C23" s="195">
        <v>1.44</v>
      </c>
    </row>
    <row r="24" spans="1:4" ht="16.5" thickBot="1" x14ac:dyDescent="0.3">
      <c r="A24" s="205">
        <v>5200</v>
      </c>
      <c r="B24" s="206" t="s">
        <v>201</v>
      </c>
      <c r="C24" s="195">
        <v>1.45</v>
      </c>
    </row>
    <row r="25" spans="1:4" ht="16.5" thickBot="1" x14ac:dyDescent="0.3">
      <c r="A25" s="207"/>
      <c r="B25" s="208" t="s">
        <v>17</v>
      </c>
      <c r="C25" s="193">
        <f>SUM(C20:C24)</f>
        <v>7.04</v>
      </c>
    </row>
    <row r="26" spans="1:4" ht="16.5" thickBot="1" x14ac:dyDescent="0.3">
      <c r="A26" s="188"/>
      <c r="B26" s="209" t="s">
        <v>18</v>
      </c>
      <c r="C26" s="193">
        <f>C18+C25</f>
        <v>77.41</v>
      </c>
      <c r="D26" s="171"/>
    </row>
    <row r="27" spans="1:4" ht="16.5" thickBot="1" x14ac:dyDescent="0.3">
      <c r="A27" s="266" t="s">
        <v>19</v>
      </c>
      <c r="B27" s="267"/>
      <c r="C27" s="210">
        <v>1</v>
      </c>
    </row>
    <row r="28" spans="1:4" ht="16.5" thickBot="1" x14ac:dyDescent="0.3">
      <c r="A28" s="254" t="s">
        <v>528</v>
      </c>
      <c r="B28" s="268"/>
      <c r="C28" s="211">
        <f>C26</f>
        <v>77.41</v>
      </c>
    </row>
    <row r="29" spans="1:4" ht="16.5" thickBot="1" x14ac:dyDescent="0.3">
      <c r="A29" s="254" t="s">
        <v>21</v>
      </c>
      <c r="B29" s="268"/>
      <c r="C29" s="205">
        <v>47</v>
      </c>
    </row>
    <row r="30" spans="1:4" ht="16.5" thickBot="1" x14ac:dyDescent="0.3">
      <c r="A30" s="254" t="s">
        <v>529</v>
      </c>
      <c r="B30" s="268"/>
      <c r="C30" s="212">
        <f>C29*C28</f>
        <v>3638.27</v>
      </c>
    </row>
  </sheetData>
  <mergeCells count="5">
    <mergeCell ref="B2:C2"/>
    <mergeCell ref="A27:B27"/>
    <mergeCell ref="A28:B28"/>
    <mergeCell ref="A29:B29"/>
    <mergeCell ref="A30:B3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A215-6D11-4E83-93BF-790DFF0AFDF1}">
  <sheetPr>
    <tabColor theme="9" tint="0.79998168889431442"/>
  </sheetPr>
  <dimension ref="A1:D30"/>
  <sheetViews>
    <sheetView zoomScale="70" zoomScaleNormal="70" workbookViewId="0">
      <selection activeCell="D26" sqref="D26"/>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568</v>
      </c>
      <c r="C3" s="152"/>
    </row>
    <row r="4" spans="1:3" x14ac:dyDescent="0.25">
      <c r="A4" s="149"/>
      <c r="B4" s="170" t="s">
        <v>573</v>
      </c>
      <c r="C4" s="152"/>
    </row>
    <row r="5" spans="1:3" x14ac:dyDescent="0.25">
      <c r="A5" s="151" t="s">
        <v>71</v>
      </c>
      <c r="B5" s="152" t="s">
        <v>203</v>
      </c>
      <c r="C5" s="152"/>
    </row>
    <row r="7" spans="1:3" ht="16.5" thickBot="1" x14ac:dyDescent="0.3"/>
    <row r="8" spans="1:3" ht="63.75" thickBot="1" x14ac:dyDescent="0.3">
      <c r="A8" s="188" t="s">
        <v>0</v>
      </c>
      <c r="B8" s="188" t="s">
        <v>1</v>
      </c>
      <c r="C8" s="188" t="s">
        <v>2</v>
      </c>
    </row>
    <row r="9" spans="1:3" ht="16.5" thickBot="1" x14ac:dyDescent="0.3">
      <c r="A9" s="188">
        <v>1</v>
      </c>
      <c r="B9" s="188">
        <v>2</v>
      </c>
      <c r="C9" s="188">
        <v>3</v>
      </c>
    </row>
    <row r="10" spans="1:3" ht="16.5" thickBot="1" x14ac:dyDescent="0.3">
      <c r="A10" s="189"/>
      <c r="B10" s="188" t="s">
        <v>3</v>
      </c>
      <c r="C10" s="188" t="s">
        <v>4</v>
      </c>
    </row>
    <row r="11" spans="1:3" ht="16.5" thickBot="1" x14ac:dyDescent="0.3">
      <c r="A11" s="189"/>
      <c r="B11" s="190" t="s">
        <v>241</v>
      </c>
      <c r="C11" s="188"/>
    </row>
    <row r="12" spans="1:3" ht="79.5" thickBot="1" x14ac:dyDescent="0.3">
      <c r="A12" s="191">
        <v>1100</v>
      </c>
      <c r="B12" s="192" t="s">
        <v>602</v>
      </c>
      <c r="C12" s="193">
        <f>ROUND((12.97*5.58),2)</f>
        <v>72.37</v>
      </c>
    </row>
    <row r="13" spans="1:3" ht="79.5" thickBot="1" x14ac:dyDescent="0.3">
      <c r="A13" s="191">
        <v>1100</v>
      </c>
      <c r="B13" s="192" t="s">
        <v>243</v>
      </c>
      <c r="C13" s="193">
        <f>ROUND((12.97*0.667),2)</f>
        <v>8.65</v>
      </c>
    </row>
    <row r="14" spans="1:3" ht="48" thickBot="1" x14ac:dyDescent="0.3">
      <c r="A14" s="188">
        <v>2322</v>
      </c>
      <c r="B14" s="190" t="s">
        <v>244</v>
      </c>
      <c r="C14" s="193">
        <f>ROUND((4.5*1.73),2)</f>
        <v>7.79</v>
      </c>
    </row>
    <row r="15" spans="1:3" ht="16.5" thickBot="1" x14ac:dyDescent="0.3">
      <c r="A15" s="188">
        <v>2310</v>
      </c>
      <c r="B15" s="190" t="s">
        <v>245</v>
      </c>
      <c r="C15" s="193">
        <v>0.16</v>
      </c>
    </row>
    <row r="16" spans="1:3" ht="16.5" thickBot="1" x14ac:dyDescent="0.3">
      <c r="A16" s="188">
        <v>2210</v>
      </c>
      <c r="B16" s="190" t="s">
        <v>246</v>
      </c>
      <c r="C16" s="193">
        <v>0.22</v>
      </c>
    </row>
    <row r="17" spans="1:4" ht="16.5" thickBot="1" x14ac:dyDescent="0.3">
      <c r="A17" s="188"/>
      <c r="B17" s="194" t="s">
        <v>247</v>
      </c>
      <c r="C17" s="193">
        <f>C12+C13+C14+C15+C16</f>
        <v>89.190000000000012</v>
      </c>
    </row>
    <row r="18" spans="1:4" ht="16.5" thickBot="1" x14ac:dyDescent="0.3">
      <c r="A18" s="213"/>
      <c r="B18" s="194" t="s">
        <v>8</v>
      </c>
      <c r="C18" s="195">
        <f>C17</f>
        <v>89.190000000000012</v>
      </c>
    </row>
    <row r="19" spans="1:4" ht="16.5" thickBot="1" x14ac:dyDescent="0.3">
      <c r="A19" s="189"/>
      <c r="B19" s="188" t="s">
        <v>9</v>
      </c>
      <c r="C19" s="193" t="s">
        <v>4</v>
      </c>
    </row>
    <row r="20" spans="1:4" ht="16.5" thickBot="1" x14ac:dyDescent="0.3">
      <c r="A20" s="196">
        <v>1100</v>
      </c>
      <c r="B20" s="197" t="s">
        <v>10</v>
      </c>
      <c r="C20" s="193">
        <v>2.89</v>
      </c>
    </row>
    <row r="21" spans="1:4" ht="16.5" thickBot="1" x14ac:dyDescent="0.3">
      <c r="A21" s="198">
        <v>2210</v>
      </c>
      <c r="B21" s="199" t="s">
        <v>11</v>
      </c>
      <c r="C21" s="200">
        <v>0.96</v>
      </c>
    </row>
    <row r="22" spans="1:4" ht="16.5" thickBot="1" x14ac:dyDescent="0.3">
      <c r="A22" s="201">
        <v>2242</v>
      </c>
      <c r="B22" s="202" t="s">
        <v>31</v>
      </c>
      <c r="C22" s="195">
        <v>1.41</v>
      </c>
    </row>
    <row r="23" spans="1:4" ht="16.5" thickBot="1" x14ac:dyDescent="0.3">
      <c r="A23" s="203">
        <v>2310</v>
      </c>
      <c r="B23" s="204" t="s">
        <v>15</v>
      </c>
      <c r="C23" s="195">
        <v>1.82</v>
      </c>
    </row>
    <row r="24" spans="1:4" ht="16.5" thickBot="1" x14ac:dyDescent="0.3">
      <c r="A24" s="205">
        <v>5200</v>
      </c>
      <c r="B24" s="206" t="s">
        <v>201</v>
      </c>
      <c r="C24" s="195">
        <v>1.84</v>
      </c>
    </row>
    <row r="25" spans="1:4" ht="16.5" thickBot="1" x14ac:dyDescent="0.3">
      <c r="A25" s="207"/>
      <c r="B25" s="208" t="s">
        <v>17</v>
      </c>
      <c r="C25" s="193">
        <f>SUM(C20:C24)</f>
        <v>8.92</v>
      </c>
    </row>
    <row r="26" spans="1:4" ht="16.5" thickBot="1" x14ac:dyDescent="0.3">
      <c r="A26" s="188"/>
      <c r="B26" s="209" t="s">
        <v>18</v>
      </c>
      <c r="C26" s="193">
        <f>C18+C25</f>
        <v>98.110000000000014</v>
      </c>
      <c r="D26" s="171"/>
    </row>
    <row r="27" spans="1:4" ht="16.5" thickBot="1" x14ac:dyDescent="0.3">
      <c r="A27" s="266" t="s">
        <v>19</v>
      </c>
      <c r="B27" s="267"/>
      <c r="C27" s="210">
        <v>1</v>
      </c>
    </row>
    <row r="28" spans="1:4" ht="16.5" thickBot="1" x14ac:dyDescent="0.3">
      <c r="A28" s="254" t="s">
        <v>528</v>
      </c>
      <c r="B28" s="268"/>
      <c r="C28" s="211">
        <f>C26</f>
        <v>98.110000000000014</v>
      </c>
    </row>
    <row r="29" spans="1:4" ht="16.5" thickBot="1" x14ac:dyDescent="0.3">
      <c r="A29" s="254" t="s">
        <v>21</v>
      </c>
      <c r="B29" s="268"/>
      <c r="C29" s="205">
        <v>7</v>
      </c>
    </row>
    <row r="30" spans="1:4" ht="16.5" thickBot="1" x14ac:dyDescent="0.3">
      <c r="A30" s="254" t="s">
        <v>529</v>
      </c>
      <c r="B30" s="268"/>
      <c r="C30" s="212">
        <f>C29*C28</f>
        <v>686.7700000000001</v>
      </c>
    </row>
  </sheetData>
  <mergeCells count="5">
    <mergeCell ref="B2:C2"/>
    <mergeCell ref="A27:B27"/>
    <mergeCell ref="A28:B28"/>
    <mergeCell ref="A29:B29"/>
    <mergeCell ref="A30:B3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3E3F-DB36-477B-9CF8-0E724B67C03C}">
  <sheetPr>
    <tabColor theme="9" tint="0.79998168889431442"/>
  </sheetPr>
  <dimension ref="A1:D30"/>
  <sheetViews>
    <sheetView zoomScale="70" zoomScaleNormal="70" workbookViewId="0">
      <selection activeCell="B13" sqref="B13"/>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568</v>
      </c>
      <c r="C3" s="152"/>
    </row>
    <row r="4" spans="1:3" x14ac:dyDescent="0.25">
      <c r="A4" s="149"/>
      <c r="B4" s="170" t="s">
        <v>574</v>
      </c>
      <c r="C4" s="152"/>
    </row>
    <row r="5" spans="1:3" x14ac:dyDescent="0.25">
      <c r="A5" s="151" t="s">
        <v>71</v>
      </c>
      <c r="B5" s="152" t="s">
        <v>203</v>
      </c>
      <c r="C5" s="152"/>
    </row>
    <row r="7" spans="1:3" ht="16.5" thickBot="1" x14ac:dyDescent="0.3"/>
    <row r="8" spans="1:3" ht="63.75" thickBot="1" x14ac:dyDescent="0.3">
      <c r="A8" s="188" t="s">
        <v>0</v>
      </c>
      <c r="B8" s="188" t="s">
        <v>1</v>
      </c>
      <c r="C8" s="188" t="s">
        <v>2</v>
      </c>
    </row>
    <row r="9" spans="1:3" ht="16.5" thickBot="1" x14ac:dyDescent="0.3">
      <c r="A9" s="188">
        <v>1</v>
      </c>
      <c r="B9" s="188">
        <v>2</v>
      </c>
      <c r="C9" s="188">
        <v>3</v>
      </c>
    </row>
    <row r="10" spans="1:3" ht="16.5" thickBot="1" x14ac:dyDescent="0.3">
      <c r="A10" s="189"/>
      <c r="B10" s="188" t="s">
        <v>3</v>
      </c>
      <c r="C10" s="188" t="s">
        <v>4</v>
      </c>
    </row>
    <row r="11" spans="1:3" ht="16.5" thickBot="1" x14ac:dyDescent="0.3">
      <c r="A11" s="189"/>
      <c r="B11" s="190" t="s">
        <v>241</v>
      </c>
      <c r="C11" s="188"/>
    </row>
    <row r="12" spans="1:3" ht="79.5" thickBot="1" x14ac:dyDescent="0.3">
      <c r="A12" s="191">
        <v>1100</v>
      </c>
      <c r="B12" s="192" t="s">
        <v>603</v>
      </c>
      <c r="C12" s="193">
        <f>ROUND((12.97*7.031),2)</f>
        <v>91.19</v>
      </c>
    </row>
    <row r="13" spans="1:3" ht="79.5" thickBot="1" x14ac:dyDescent="0.3">
      <c r="A13" s="191">
        <v>1100</v>
      </c>
      <c r="B13" s="192" t="s">
        <v>243</v>
      </c>
      <c r="C13" s="193">
        <f>ROUND((12.97*0.667),2)</f>
        <v>8.65</v>
      </c>
    </row>
    <row r="14" spans="1:3" ht="48" thickBot="1" x14ac:dyDescent="0.3">
      <c r="A14" s="188">
        <v>2322</v>
      </c>
      <c r="B14" s="190" t="s">
        <v>244</v>
      </c>
      <c r="C14" s="193">
        <f>ROUND((4.5*1.73),2)</f>
        <v>7.79</v>
      </c>
    </row>
    <row r="15" spans="1:3" ht="16.5" thickBot="1" x14ac:dyDescent="0.3">
      <c r="A15" s="188">
        <v>2310</v>
      </c>
      <c r="B15" s="190" t="s">
        <v>245</v>
      </c>
      <c r="C15" s="193">
        <v>0.16</v>
      </c>
    </row>
    <row r="16" spans="1:3" ht="16.5" thickBot="1" x14ac:dyDescent="0.3">
      <c r="A16" s="188">
        <v>2210</v>
      </c>
      <c r="B16" s="190" t="s">
        <v>246</v>
      </c>
      <c r="C16" s="193">
        <v>0.22</v>
      </c>
    </row>
    <row r="17" spans="1:4" ht="16.5" thickBot="1" x14ac:dyDescent="0.3">
      <c r="A17" s="188"/>
      <c r="B17" s="194" t="s">
        <v>247</v>
      </c>
      <c r="C17" s="193">
        <f>C12+C13+C14+C15+C16</f>
        <v>108.01</v>
      </c>
    </row>
    <row r="18" spans="1:4" ht="16.5" thickBot="1" x14ac:dyDescent="0.3">
      <c r="A18" s="213"/>
      <c r="B18" s="194" t="s">
        <v>8</v>
      </c>
      <c r="C18" s="195">
        <f>C17</f>
        <v>108.01</v>
      </c>
    </row>
    <row r="19" spans="1:4" ht="16.5" thickBot="1" x14ac:dyDescent="0.3">
      <c r="A19" s="189"/>
      <c r="B19" s="188" t="s">
        <v>9</v>
      </c>
      <c r="C19" s="193" t="s">
        <v>4</v>
      </c>
    </row>
    <row r="20" spans="1:4" ht="16.5" thickBot="1" x14ac:dyDescent="0.3">
      <c r="A20" s="196">
        <v>1100</v>
      </c>
      <c r="B20" s="197" t="s">
        <v>10</v>
      </c>
      <c r="C20" s="193">
        <v>3.49</v>
      </c>
    </row>
    <row r="21" spans="1:4" ht="16.5" thickBot="1" x14ac:dyDescent="0.3">
      <c r="A21" s="198">
        <v>2210</v>
      </c>
      <c r="B21" s="199" t="s">
        <v>11</v>
      </c>
      <c r="C21" s="200">
        <v>1.17</v>
      </c>
    </row>
    <row r="22" spans="1:4" ht="16.5" thickBot="1" x14ac:dyDescent="0.3">
      <c r="A22" s="201">
        <v>2242</v>
      </c>
      <c r="B22" s="202" t="s">
        <v>31</v>
      </c>
      <c r="C22" s="195">
        <v>1.71</v>
      </c>
    </row>
    <row r="23" spans="1:4" ht="16.5" thickBot="1" x14ac:dyDescent="0.3">
      <c r="A23" s="203">
        <v>2310</v>
      </c>
      <c r="B23" s="204" t="s">
        <v>15</v>
      </c>
      <c r="C23" s="195">
        <v>2.21</v>
      </c>
    </row>
    <row r="24" spans="1:4" ht="16.5" thickBot="1" x14ac:dyDescent="0.3">
      <c r="A24" s="205">
        <v>5200</v>
      </c>
      <c r="B24" s="206" t="s">
        <v>201</v>
      </c>
      <c r="C24" s="195">
        <v>2.2200000000000002</v>
      </c>
    </row>
    <row r="25" spans="1:4" ht="16.5" thickBot="1" x14ac:dyDescent="0.3">
      <c r="A25" s="207"/>
      <c r="B25" s="208" t="s">
        <v>17</v>
      </c>
      <c r="C25" s="193">
        <f>SUM(C20:C24)</f>
        <v>10.8</v>
      </c>
    </row>
    <row r="26" spans="1:4" ht="16.5" thickBot="1" x14ac:dyDescent="0.3">
      <c r="A26" s="188"/>
      <c r="B26" s="209" t="s">
        <v>18</v>
      </c>
      <c r="C26" s="193">
        <f>C18+C25</f>
        <v>118.81</v>
      </c>
      <c r="D26" s="171"/>
    </row>
    <row r="27" spans="1:4" ht="16.5" thickBot="1" x14ac:dyDescent="0.3">
      <c r="A27" s="266" t="s">
        <v>19</v>
      </c>
      <c r="B27" s="267"/>
      <c r="C27" s="210">
        <v>1</v>
      </c>
    </row>
    <row r="28" spans="1:4" ht="16.5" thickBot="1" x14ac:dyDescent="0.3">
      <c r="A28" s="254" t="s">
        <v>528</v>
      </c>
      <c r="B28" s="268"/>
      <c r="C28" s="211">
        <f>C26</f>
        <v>118.81</v>
      </c>
    </row>
    <row r="29" spans="1:4" ht="16.5" thickBot="1" x14ac:dyDescent="0.3">
      <c r="A29" s="254" t="s">
        <v>21</v>
      </c>
      <c r="B29" s="268"/>
      <c r="C29" s="205">
        <v>3</v>
      </c>
    </row>
    <row r="30" spans="1:4" ht="16.5" thickBot="1" x14ac:dyDescent="0.3">
      <c r="A30" s="254" t="s">
        <v>529</v>
      </c>
      <c r="B30" s="268"/>
      <c r="C30" s="212">
        <f>C29*C28</f>
        <v>356.43</v>
      </c>
    </row>
  </sheetData>
  <mergeCells count="5">
    <mergeCell ref="A28:B28"/>
    <mergeCell ref="A29:B29"/>
    <mergeCell ref="A30:B30"/>
    <mergeCell ref="B2:C2"/>
    <mergeCell ref="A27:B2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E6DD-00EF-4718-BA21-B5BDDE04C9B9}">
  <sheetPr>
    <tabColor theme="9" tint="0.79998168889431442"/>
  </sheetPr>
  <dimension ref="A1:C30"/>
  <sheetViews>
    <sheetView zoomScale="70" zoomScaleNormal="70" workbookViewId="0">
      <selection activeCell="C29" sqref="C29"/>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575</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604</v>
      </c>
      <c r="C12" s="36">
        <f>ROUND((12.97*8.482),2)</f>
        <v>110.01</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126.83000000000001</v>
      </c>
    </row>
    <row r="18" spans="1:3" ht="16.5" thickBot="1" x14ac:dyDescent="0.3">
      <c r="A18" s="130"/>
      <c r="B18" s="39" t="s">
        <v>8</v>
      </c>
      <c r="C18" s="103">
        <f>C17</f>
        <v>126.83000000000001</v>
      </c>
    </row>
    <row r="19" spans="1:3" ht="16.5" thickBot="1" x14ac:dyDescent="0.3">
      <c r="A19" s="34"/>
      <c r="B19" s="33" t="s">
        <v>9</v>
      </c>
      <c r="C19" s="36" t="s">
        <v>4</v>
      </c>
    </row>
    <row r="20" spans="1:3" ht="16.5" thickBot="1" x14ac:dyDescent="0.3">
      <c r="A20" s="1">
        <v>1100</v>
      </c>
      <c r="B20" s="180" t="s">
        <v>10</v>
      </c>
      <c r="C20" s="36">
        <v>4.0999999999999996</v>
      </c>
    </row>
    <row r="21" spans="1:3" ht="16.5" thickBot="1" x14ac:dyDescent="0.3">
      <c r="A21" s="181">
        <v>2210</v>
      </c>
      <c r="B21" s="182" t="s">
        <v>11</v>
      </c>
      <c r="C21" s="92">
        <v>1.37</v>
      </c>
    </row>
    <row r="22" spans="1:3" ht="16.5" thickBot="1" x14ac:dyDescent="0.3">
      <c r="A22" s="183">
        <v>2242</v>
      </c>
      <c r="B22" s="184" t="s">
        <v>31</v>
      </c>
      <c r="C22" s="103">
        <v>2.0099999999999998</v>
      </c>
    </row>
    <row r="23" spans="1:3" ht="16.5" thickBot="1" x14ac:dyDescent="0.3">
      <c r="A23" s="185">
        <v>2310</v>
      </c>
      <c r="B23" s="186" t="s">
        <v>15</v>
      </c>
      <c r="C23" s="103">
        <v>2.59</v>
      </c>
    </row>
    <row r="24" spans="1:3" ht="16.5" thickBot="1" x14ac:dyDescent="0.3">
      <c r="A24" s="46">
        <v>5200</v>
      </c>
      <c r="B24" s="187" t="s">
        <v>201</v>
      </c>
      <c r="C24" s="103">
        <v>2.61</v>
      </c>
    </row>
    <row r="25" spans="1:3" ht="16.5" thickBot="1" x14ac:dyDescent="0.3">
      <c r="A25" s="58"/>
      <c r="B25" s="139" t="s">
        <v>17</v>
      </c>
      <c r="C25" s="36">
        <f>SUM(C20:C24)</f>
        <v>12.68</v>
      </c>
    </row>
    <row r="26" spans="1:3" ht="16.5" thickBot="1" x14ac:dyDescent="0.3">
      <c r="A26" s="33"/>
      <c r="B26" s="45" t="s">
        <v>18</v>
      </c>
      <c r="C26" s="36">
        <f>C18+C25</f>
        <v>139.51000000000002</v>
      </c>
    </row>
    <row r="27" spans="1:3" ht="16.5" thickBot="1" x14ac:dyDescent="0.3">
      <c r="A27" s="264" t="s">
        <v>19</v>
      </c>
      <c r="B27" s="265"/>
      <c r="C27" s="48">
        <v>1</v>
      </c>
    </row>
    <row r="28" spans="1:3" ht="16.5" thickBot="1" x14ac:dyDescent="0.3">
      <c r="A28" s="252" t="s">
        <v>20</v>
      </c>
      <c r="B28" s="253"/>
      <c r="C28" s="23">
        <f>C26</f>
        <v>139.51000000000002</v>
      </c>
    </row>
    <row r="29" spans="1:3" ht="16.5" thickBot="1" x14ac:dyDescent="0.3">
      <c r="A29" s="252" t="s">
        <v>21</v>
      </c>
      <c r="B29" s="253"/>
      <c r="C29" s="46">
        <v>23</v>
      </c>
    </row>
    <row r="30" spans="1:3" ht="16.5" thickBot="1" x14ac:dyDescent="0.3">
      <c r="A30" s="252" t="s">
        <v>22</v>
      </c>
      <c r="B30" s="253"/>
      <c r="C30" s="47">
        <f>C29*C28</f>
        <v>3208.7300000000005</v>
      </c>
    </row>
  </sheetData>
  <mergeCells count="5">
    <mergeCell ref="B2:C2"/>
    <mergeCell ref="A27:B27"/>
    <mergeCell ref="A28:B28"/>
    <mergeCell ref="A29:B29"/>
    <mergeCell ref="A30:B3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7102-43E0-4E08-8FCA-4CA6BB76ABA8}">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576</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605</v>
      </c>
      <c r="C12" s="36">
        <f>ROUND((12.97*9.933),2)</f>
        <v>128.83000000000001</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145.65</v>
      </c>
    </row>
    <row r="18" spans="1:3" ht="16.5" thickBot="1" x14ac:dyDescent="0.3">
      <c r="A18" s="130"/>
      <c r="B18" s="39" t="s">
        <v>8</v>
      </c>
      <c r="C18" s="103">
        <f>C17</f>
        <v>145.65</v>
      </c>
    </row>
    <row r="19" spans="1:3" ht="16.5" thickBot="1" x14ac:dyDescent="0.3">
      <c r="A19" s="34"/>
      <c r="B19" s="33" t="s">
        <v>9</v>
      </c>
      <c r="C19" s="36" t="s">
        <v>4</v>
      </c>
    </row>
    <row r="20" spans="1:3" ht="16.5" thickBot="1" x14ac:dyDescent="0.3">
      <c r="A20" s="1">
        <v>1100</v>
      </c>
      <c r="B20" s="180" t="s">
        <v>10</v>
      </c>
      <c r="C20" s="36">
        <v>4.71</v>
      </c>
    </row>
    <row r="21" spans="1:3" ht="16.5" thickBot="1" x14ac:dyDescent="0.3">
      <c r="A21" s="181">
        <v>2210</v>
      </c>
      <c r="B21" s="182" t="s">
        <v>11</v>
      </c>
      <c r="C21" s="92">
        <v>1.57</v>
      </c>
    </row>
    <row r="22" spans="1:3" ht="16.5" thickBot="1" x14ac:dyDescent="0.3">
      <c r="A22" s="183">
        <v>2242</v>
      </c>
      <c r="B22" s="184" t="s">
        <v>31</v>
      </c>
      <c r="C22" s="103">
        <v>2.31</v>
      </c>
    </row>
    <row r="23" spans="1:3" ht="16.5" thickBot="1" x14ac:dyDescent="0.3">
      <c r="A23" s="185">
        <v>2310</v>
      </c>
      <c r="B23" s="186" t="s">
        <v>15</v>
      </c>
      <c r="C23" s="103">
        <v>2.97</v>
      </c>
    </row>
    <row r="24" spans="1:3" ht="16.5" thickBot="1" x14ac:dyDescent="0.3">
      <c r="A24" s="46">
        <v>5200</v>
      </c>
      <c r="B24" s="187" t="s">
        <v>201</v>
      </c>
      <c r="C24" s="103">
        <v>3</v>
      </c>
    </row>
    <row r="25" spans="1:3" ht="16.5" thickBot="1" x14ac:dyDescent="0.3">
      <c r="A25" s="58"/>
      <c r="B25" s="139" t="s">
        <v>17</v>
      </c>
      <c r="C25" s="36">
        <f>SUM(C20:C24)</f>
        <v>14.56</v>
      </c>
    </row>
    <row r="26" spans="1:3" ht="16.5" thickBot="1" x14ac:dyDescent="0.3">
      <c r="A26" s="33"/>
      <c r="B26" s="45" t="s">
        <v>18</v>
      </c>
      <c r="C26" s="36">
        <f>C18+C25</f>
        <v>160.21</v>
      </c>
    </row>
    <row r="27" spans="1:3" ht="16.5" thickBot="1" x14ac:dyDescent="0.3">
      <c r="A27" s="264" t="s">
        <v>19</v>
      </c>
      <c r="B27" s="265"/>
      <c r="C27" s="48">
        <v>1</v>
      </c>
    </row>
    <row r="28" spans="1:3" ht="16.5" thickBot="1" x14ac:dyDescent="0.3">
      <c r="A28" s="252" t="s">
        <v>20</v>
      </c>
      <c r="B28" s="253"/>
      <c r="C28" s="23">
        <f>C26</f>
        <v>160.21</v>
      </c>
    </row>
    <row r="29" spans="1:3" ht="16.5" thickBot="1" x14ac:dyDescent="0.3">
      <c r="A29" s="252" t="s">
        <v>21</v>
      </c>
      <c r="B29" s="253"/>
      <c r="C29" s="46">
        <v>23</v>
      </c>
    </row>
    <row r="30" spans="1:3" ht="16.5" thickBot="1" x14ac:dyDescent="0.3">
      <c r="A30" s="252" t="s">
        <v>22</v>
      </c>
      <c r="B30" s="253"/>
      <c r="C30" s="47">
        <f>C29*C28</f>
        <v>3684.8300000000004</v>
      </c>
    </row>
  </sheetData>
  <mergeCells count="5">
    <mergeCell ref="B2:C2"/>
    <mergeCell ref="A27:B27"/>
    <mergeCell ref="A28:B28"/>
    <mergeCell ref="A29:B29"/>
    <mergeCell ref="A30:B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6791-7D9C-44FA-AFF3-A1F3D684327A}">
  <sheetPr>
    <tabColor theme="9" tint="0.79998168889431442"/>
  </sheetPr>
  <dimension ref="A1:D58"/>
  <sheetViews>
    <sheetView topLeftCell="A35" zoomScale="85" zoomScaleNormal="85" workbookViewId="0">
      <selection activeCell="B58" sqref="B58"/>
    </sheetView>
  </sheetViews>
  <sheetFormatPr defaultRowHeight="15" x14ac:dyDescent="0.25"/>
  <cols>
    <col min="1" max="1" width="21.140625" bestFit="1" customWidth="1"/>
    <col min="2" max="2" width="155.42578125" customWidth="1"/>
    <col min="3" max="3" width="26.42578125" customWidth="1"/>
  </cols>
  <sheetData>
    <row r="1" spans="1:4" ht="15.75" x14ac:dyDescent="0.25">
      <c r="A1" s="28" t="s">
        <v>66</v>
      </c>
      <c r="B1" s="29" t="s">
        <v>67</v>
      </c>
      <c r="C1" s="30"/>
    </row>
    <row r="2" spans="1:4" ht="31.5" x14ac:dyDescent="0.25">
      <c r="A2" s="31" t="s">
        <v>68</v>
      </c>
      <c r="B2" s="252" t="s">
        <v>509</v>
      </c>
      <c r="C2" s="252"/>
    </row>
    <row r="3" spans="1:4" ht="31.5" x14ac:dyDescent="0.25">
      <c r="A3" s="31"/>
      <c r="B3" s="32" t="s">
        <v>530</v>
      </c>
      <c r="C3" s="32"/>
    </row>
    <row r="4" spans="1:4" ht="15.75" x14ac:dyDescent="0.25">
      <c r="A4" s="29"/>
      <c r="B4" s="32" t="s">
        <v>531</v>
      </c>
      <c r="C4" s="32"/>
    </row>
    <row r="5" spans="1:4" ht="15.75" x14ac:dyDescent="0.25">
      <c r="A5" s="31" t="s">
        <v>71</v>
      </c>
      <c r="B5" s="32" t="s">
        <v>203</v>
      </c>
      <c r="C5" s="32"/>
    </row>
    <row r="8" spans="1:4" ht="63" x14ac:dyDescent="0.25">
      <c r="A8" s="112" t="s">
        <v>0</v>
      </c>
      <c r="B8" s="112" t="s">
        <v>1</v>
      </c>
      <c r="C8" s="112" t="s">
        <v>2</v>
      </c>
    </row>
    <row r="9" spans="1:4" ht="15.75" x14ac:dyDescent="0.25">
      <c r="A9" s="112">
        <v>1</v>
      </c>
      <c r="B9" s="112">
        <v>2</v>
      </c>
      <c r="C9" s="112">
        <v>3</v>
      </c>
    </row>
    <row r="10" spans="1:4" ht="15.75" x14ac:dyDescent="0.25">
      <c r="A10" s="113"/>
      <c r="B10" s="112" t="s">
        <v>3</v>
      </c>
      <c r="C10" s="112" t="s">
        <v>4</v>
      </c>
    </row>
    <row r="11" spans="1:4" ht="15.75" x14ac:dyDescent="0.25">
      <c r="A11" s="123"/>
      <c r="B11" s="123" t="s">
        <v>512</v>
      </c>
      <c r="C11" s="123"/>
    </row>
    <row r="12" spans="1:4" ht="94.5" x14ac:dyDescent="0.25">
      <c r="A12" s="93">
        <v>1100</v>
      </c>
      <c r="B12" s="94" t="s">
        <v>513</v>
      </c>
      <c r="C12" s="115">
        <f>ROUND((10*0.083),2)</f>
        <v>0.83</v>
      </c>
    </row>
    <row r="13" spans="1:4" ht="78.75" x14ac:dyDescent="0.25">
      <c r="A13" s="93">
        <v>1100</v>
      </c>
      <c r="B13" s="94" t="s">
        <v>514</v>
      </c>
      <c r="C13" s="119">
        <f>10*1</f>
        <v>10</v>
      </c>
      <c r="D13" s="171"/>
    </row>
    <row r="14" spans="1:4" ht="78.75" x14ac:dyDescent="0.25">
      <c r="A14" s="93">
        <v>1100</v>
      </c>
      <c r="B14" s="94" t="s">
        <v>515</v>
      </c>
      <c r="C14" s="115">
        <f>ROUND((10*0.667),2)</f>
        <v>6.67</v>
      </c>
    </row>
    <row r="15" spans="1:4" ht="15.75" x14ac:dyDescent="0.25">
      <c r="A15" s="93">
        <v>2322</v>
      </c>
      <c r="B15" s="94" t="s">
        <v>516</v>
      </c>
      <c r="C15" s="115">
        <v>7.79</v>
      </c>
    </row>
    <row r="16" spans="1:4" ht="15.75" x14ac:dyDescent="0.25">
      <c r="A16" s="93">
        <v>2310</v>
      </c>
      <c r="B16" s="94" t="s">
        <v>517</v>
      </c>
      <c r="C16" s="115">
        <v>1.37</v>
      </c>
    </row>
    <row r="17" spans="1:3" ht="15.75" x14ac:dyDescent="0.25">
      <c r="A17" s="93"/>
      <c r="B17" s="118" t="s">
        <v>518</v>
      </c>
      <c r="C17" s="115">
        <f>SUM(C12:C16)</f>
        <v>26.66</v>
      </c>
    </row>
    <row r="18" spans="1:3" ht="15.75" x14ac:dyDescent="0.25">
      <c r="A18" s="93"/>
      <c r="B18" s="94" t="s">
        <v>519</v>
      </c>
      <c r="C18" s="115"/>
    </row>
    <row r="19" spans="1:3" ht="94.5" x14ac:dyDescent="0.25">
      <c r="A19" s="93">
        <v>1100</v>
      </c>
      <c r="B19" s="114" t="s">
        <v>189</v>
      </c>
      <c r="C19" s="115">
        <f>ROUND((9.63*0.25),2)</f>
        <v>2.41</v>
      </c>
    </row>
    <row r="20" spans="1:3" ht="15.75" x14ac:dyDescent="0.25">
      <c r="A20" s="93">
        <v>2341</v>
      </c>
      <c r="B20" s="114" t="s">
        <v>190</v>
      </c>
      <c r="C20" s="112">
        <v>3.3</v>
      </c>
    </row>
    <row r="21" spans="1:3" ht="15.75" x14ac:dyDescent="0.25">
      <c r="A21" s="116">
        <v>2239</v>
      </c>
      <c r="B21" s="117" t="s">
        <v>191</v>
      </c>
      <c r="C21" s="112">
        <v>0.23</v>
      </c>
    </row>
    <row r="22" spans="1:3" ht="15.75" x14ac:dyDescent="0.25">
      <c r="A22" s="113"/>
      <c r="B22" s="118" t="s">
        <v>39</v>
      </c>
      <c r="C22" s="119">
        <f>SUM(C19:C21)</f>
        <v>5.94</v>
      </c>
    </row>
    <row r="23" spans="1:3" ht="15.75" x14ac:dyDescent="0.25">
      <c r="A23" s="113"/>
      <c r="B23" s="94" t="s">
        <v>520</v>
      </c>
      <c r="C23" s="120"/>
    </row>
    <row r="24" spans="1:3" ht="15.75" x14ac:dyDescent="0.25">
      <c r="A24" s="113"/>
      <c r="B24" s="121" t="s">
        <v>192</v>
      </c>
      <c r="C24" s="120"/>
    </row>
    <row r="25" spans="1:3" ht="94.5" x14ac:dyDescent="0.25">
      <c r="A25" s="93">
        <v>1100</v>
      </c>
      <c r="B25" s="94" t="s">
        <v>532</v>
      </c>
      <c r="C25" s="119">
        <f>ROUND((9.63*0.5),2)</f>
        <v>4.82</v>
      </c>
    </row>
    <row r="26" spans="1:3" ht="15.75" x14ac:dyDescent="0.25">
      <c r="A26" s="93">
        <v>2341</v>
      </c>
      <c r="B26" s="94" t="s">
        <v>194</v>
      </c>
      <c r="C26" s="120">
        <v>0.38</v>
      </c>
    </row>
    <row r="27" spans="1:3" ht="15.75" x14ac:dyDescent="0.25">
      <c r="A27" s="93"/>
      <c r="B27" s="147" t="s">
        <v>204</v>
      </c>
      <c r="C27" s="120"/>
    </row>
    <row r="28" spans="1:3" ht="94.5" x14ac:dyDescent="0.25">
      <c r="A28" s="93">
        <v>1100</v>
      </c>
      <c r="B28" s="94" t="s">
        <v>223</v>
      </c>
      <c r="C28" s="120">
        <f>ROUND((9.63*4),2)</f>
        <v>38.520000000000003</v>
      </c>
    </row>
    <row r="29" spans="1:3" ht="15.75" x14ac:dyDescent="0.25">
      <c r="A29" s="93">
        <v>2341</v>
      </c>
      <c r="B29" s="94" t="s">
        <v>194</v>
      </c>
      <c r="C29" s="120">
        <v>0.19</v>
      </c>
    </row>
    <row r="30" spans="1:3" ht="15.75" x14ac:dyDescent="0.25">
      <c r="A30" s="93"/>
      <c r="B30" s="122" t="s">
        <v>195</v>
      </c>
      <c r="C30" s="120"/>
    </row>
    <row r="31" spans="1:3" ht="94.5" x14ac:dyDescent="0.25">
      <c r="A31" s="93">
        <v>1100</v>
      </c>
      <c r="B31" s="94" t="s">
        <v>533</v>
      </c>
      <c r="C31" s="119">
        <f>ROUND((9.63*0.75),2)</f>
        <v>7.22</v>
      </c>
    </row>
    <row r="32" spans="1:3" ht="15.75" x14ac:dyDescent="0.25">
      <c r="A32" s="93">
        <v>2341</v>
      </c>
      <c r="B32" s="94" t="s">
        <v>194</v>
      </c>
      <c r="C32" s="120">
        <v>2.9</v>
      </c>
    </row>
    <row r="33" spans="1:3" ht="15.75" x14ac:dyDescent="0.25">
      <c r="A33" s="93"/>
      <c r="B33" s="122" t="s">
        <v>197</v>
      </c>
      <c r="C33" s="120"/>
    </row>
    <row r="34" spans="1:3" ht="94.5" x14ac:dyDescent="0.25">
      <c r="A34" s="93">
        <v>1100</v>
      </c>
      <c r="B34" s="94" t="s">
        <v>534</v>
      </c>
      <c r="C34" s="120">
        <f>ROUND((9.63*0.133),2)</f>
        <v>1.28</v>
      </c>
    </row>
    <row r="35" spans="1:3" ht="15.75" x14ac:dyDescent="0.25">
      <c r="A35" s="93"/>
      <c r="B35" s="121" t="s">
        <v>78</v>
      </c>
      <c r="C35" s="120"/>
    </row>
    <row r="36" spans="1:3" ht="94.5" x14ac:dyDescent="0.25">
      <c r="A36" s="93">
        <v>1100</v>
      </c>
      <c r="B36" s="94" t="s">
        <v>535</v>
      </c>
      <c r="C36" s="119">
        <f>ROUND((9.63*0.333),2)</f>
        <v>3.21</v>
      </c>
    </row>
    <row r="37" spans="1:3" ht="15.75" x14ac:dyDescent="0.25">
      <c r="A37" s="93"/>
      <c r="B37" s="118" t="s">
        <v>199</v>
      </c>
      <c r="C37" s="119">
        <f>SUM(C25:C36)</f>
        <v>58.52</v>
      </c>
    </row>
    <row r="38" spans="1:3" ht="15.75" x14ac:dyDescent="0.25">
      <c r="A38" s="123"/>
      <c r="B38" s="123" t="s">
        <v>523</v>
      </c>
      <c r="C38" s="120"/>
    </row>
    <row r="39" spans="1:3" ht="94.5" x14ac:dyDescent="0.25">
      <c r="A39" s="93">
        <v>1100</v>
      </c>
      <c r="B39" s="94" t="s">
        <v>200</v>
      </c>
      <c r="C39" s="119">
        <f>ROUND((12.97*0.083),2)</f>
        <v>1.08</v>
      </c>
    </row>
    <row r="40" spans="1:3" ht="15.75" x14ac:dyDescent="0.25">
      <c r="A40" s="113"/>
      <c r="B40" s="118" t="s">
        <v>55</v>
      </c>
      <c r="C40" s="119">
        <f>C39</f>
        <v>1.08</v>
      </c>
    </row>
    <row r="41" spans="1:3" ht="15.75" x14ac:dyDescent="0.25">
      <c r="A41" s="113"/>
      <c r="B41" s="118" t="s">
        <v>8</v>
      </c>
      <c r="C41" s="119">
        <f>SUM(C17,C22,C37,C40)</f>
        <v>92.2</v>
      </c>
    </row>
    <row r="42" spans="1:3" ht="15.75" x14ac:dyDescent="0.25">
      <c r="A42" s="113"/>
      <c r="B42" s="112" t="s">
        <v>9</v>
      </c>
      <c r="C42" s="112" t="s">
        <v>4</v>
      </c>
    </row>
    <row r="43" spans="1:3" ht="15.75" x14ac:dyDescent="0.25">
      <c r="A43" s="112">
        <v>1100</v>
      </c>
      <c r="B43" s="124" t="s">
        <v>10</v>
      </c>
      <c r="C43" s="115">
        <v>0.88</v>
      </c>
    </row>
    <row r="44" spans="1:3" ht="15.75" x14ac:dyDescent="0.25">
      <c r="A44" s="125">
        <v>2210</v>
      </c>
      <c r="B44" s="126" t="s">
        <v>11</v>
      </c>
      <c r="C44" s="120">
        <v>0.28999999999999998</v>
      </c>
    </row>
    <row r="45" spans="1:3" ht="15.75" x14ac:dyDescent="0.25">
      <c r="A45" s="125">
        <v>2220</v>
      </c>
      <c r="B45" s="126" t="s">
        <v>12</v>
      </c>
      <c r="C45" s="112">
        <v>1.1399999999999999</v>
      </c>
    </row>
    <row r="46" spans="1:3" ht="15.75" x14ac:dyDescent="0.25">
      <c r="A46" s="125">
        <v>2240</v>
      </c>
      <c r="B46" s="126" t="s">
        <v>56</v>
      </c>
      <c r="C46" s="112">
        <v>3.02</v>
      </c>
    </row>
    <row r="47" spans="1:3" ht="15.75" x14ac:dyDescent="0.25">
      <c r="A47" s="125">
        <v>2310</v>
      </c>
      <c r="B47" s="126" t="s">
        <v>15</v>
      </c>
      <c r="C47" s="115">
        <v>0.56000000000000005</v>
      </c>
    </row>
    <row r="48" spans="1:3" ht="15.75" x14ac:dyDescent="0.25">
      <c r="A48" s="120">
        <v>5200</v>
      </c>
      <c r="B48" s="127" t="s">
        <v>201</v>
      </c>
      <c r="C48" s="115">
        <v>0.56000000000000005</v>
      </c>
    </row>
    <row r="49" spans="1:4" ht="15.75" x14ac:dyDescent="0.25">
      <c r="A49" s="113"/>
      <c r="B49" s="118" t="s">
        <v>17</v>
      </c>
      <c r="C49" s="115">
        <f>SUM(C43:C48)</f>
        <v>6.4500000000000011</v>
      </c>
    </row>
    <row r="50" spans="1:4" ht="15.75" x14ac:dyDescent="0.25">
      <c r="A50" s="112"/>
      <c r="B50" s="128" t="s">
        <v>18</v>
      </c>
      <c r="C50" s="115">
        <f>SUM(C41,C49)</f>
        <v>98.65</v>
      </c>
      <c r="D50" s="171"/>
    </row>
    <row r="51" spans="1:4" ht="15.6" customHeight="1" x14ac:dyDescent="0.25">
      <c r="A51" s="258" t="s">
        <v>19</v>
      </c>
      <c r="B51" s="258"/>
      <c r="C51" s="120">
        <v>1</v>
      </c>
    </row>
    <row r="52" spans="1:4" ht="15.6" customHeight="1" x14ac:dyDescent="0.25">
      <c r="A52" s="258" t="s">
        <v>20</v>
      </c>
      <c r="B52" s="258"/>
      <c r="C52" s="119">
        <f>C50</f>
        <v>98.65</v>
      </c>
    </row>
    <row r="53" spans="1:4" ht="15.6" customHeight="1" x14ac:dyDescent="0.25">
      <c r="A53" s="258" t="s">
        <v>21</v>
      </c>
      <c r="B53" s="258"/>
      <c r="C53" s="120">
        <v>107</v>
      </c>
    </row>
    <row r="54" spans="1:4" ht="15.6" customHeight="1" x14ac:dyDescent="0.25">
      <c r="A54" s="258" t="s">
        <v>22</v>
      </c>
      <c r="B54" s="258"/>
      <c r="C54" s="119">
        <f>C53*C52</f>
        <v>10555.550000000001</v>
      </c>
    </row>
    <row r="55" spans="1:4" ht="15.75" x14ac:dyDescent="0.25">
      <c r="C55" s="246">
        <v>45.77</v>
      </c>
    </row>
    <row r="56" spans="1:4" ht="15.75" x14ac:dyDescent="0.25">
      <c r="C56" s="245">
        <v>107</v>
      </c>
    </row>
    <row r="57" spans="1:4" ht="15.75" x14ac:dyDescent="0.25">
      <c r="C57" s="245">
        <f>C55*C56</f>
        <v>4897.3900000000003</v>
      </c>
    </row>
    <row r="58" spans="1:4" ht="47.25" x14ac:dyDescent="0.25">
      <c r="B58" s="248" t="s">
        <v>704</v>
      </c>
    </row>
  </sheetData>
  <mergeCells count="5">
    <mergeCell ref="B2:C2"/>
    <mergeCell ref="A51:B51"/>
    <mergeCell ref="A52:B52"/>
    <mergeCell ref="A53:B53"/>
    <mergeCell ref="A54:B5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F12-2D7A-41E4-957A-7677B1EE928C}">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607</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606</v>
      </c>
      <c r="C12" s="36">
        <f>ROUND((12.97*11.384),2)</f>
        <v>147.65</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164.47</v>
      </c>
    </row>
    <row r="18" spans="1:3" ht="16.5" thickBot="1" x14ac:dyDescent="0.3">
      <c r="A18" s="130"/>
      <c r="B18" s="39" t="s">
        <v>8</v>
      </c>
      <c r="C18" s="103">
        <f>C17</f>
        <v>164.47</v>
      </c>
    </row>
    <row r="19" spans="1:3" ht="16.5" thickBot="1" x14ac:dyDescent="0.3">
      <c r="A19" s="34"/>
      <c r="B19" s="33" t="s">
        <v>9</v>
      </c>
      <c r="C19" s="36" t="s">
        <v>4</v>
      </c>
    </row>
    <row r="20" spans="1:3" ht="16.5" thickBot="1" x14ac:dyDescent="0.3">
      <c r="A20" s="1">
        <v>1100</v>
      </c>
      <c r="B20" s="180" t="s">
        <v>10</v>
      </c>
      <c r="C20" s="36">
        <v>5.31</v>
      </c>
    </row>
    <row r="21" spans="1:3" ht="16.5" thickBot="1" x14ac:dyDescent="0.3">
      <c r="A21" s="181">
        <v>2210</v>
      </c>
      <c r="B21" s="182" t="s">
        <v>11</v>
      </c>
      <c r="C21" s="92">
        <v>1.78</v>
      </c>
    </row>
    <row r="22" spans="1:3" ht="16.5" thickBot="1" x14ac:dyDescent="0.3">
      <c r="A22" s="183">
        <v>2242</v>
      </c>
      <c r="B22" s="184" t="s">
        <v>31</v>
      </c>
      <c r="C22" s="103">
        <v>2.61</v>
      </c>
    </row>
    <row r="23" spans="1:3" ht="16.5" thickBot="1" x14ac:dyDescent="0.3">
      <c r="A23" s="185">
        <v>2310</v>
      </c>
      <c r="B23" s="186" t="s">
        <v>15</v>
      </c>
      <c r="C23" s="103">
        <v>3.36</v>
      </c>
    </row>
    <row r="24" spans="1:3" ht="16.5" thickBot="1" x14ac:dyDescent="0.3">
      <c r="A24" s="46">
        <v>5200</v>
      </c>
      <c r="B24" s="187" t="s">
        <v>201</v>
      </c>
      <c r="C24" s="103">
        <v>3.38</v>
      </c>
    </row>
    <row r="25" spans="1:3" ht="16.5" thickBot="1" x14ac:dyDescent="0.3">
      <c r="A25" s="58"/>
      <c r="B25" s="139" t="s">
        <v>17</v>
      </c>
      <c r="C25" s="36">
        <f>SUM(C20:C24)</f>
        <v>16.439999999999998</v>
      </c>
    </row>
    <row r="26" spans="1:3" ht="16.5" thickBot="1" x14ac:dyDescent="0.3">
      <c r="A26" s="33"/>
      <c r="B26" s="45" t="s">
        <v>18</v>
      </c>
      <c r="C26" s="36">
        <f>C18+C25</f>
        <v>180.91</v>
      </c>
    </row>
    <row r="27" spans="1:3" ht="16.5" thickBot="1" x14ac:dyDescent="0.3">
      <c r="A27" s="264" t="s">
        <v>19</v>
      </c>
      <c r="B27" s="265"/>
      <c r="C27" s="48">
        <v>1</v>
      </c>
    </row>
    <row r="28" spans="1:3" ht="16.5" thickBot="1" x14ac:dyDescent="0.3">
      <c r="A28" s="252" t="s">
        <v>20</v>
      </c>
      <c r="B28" s="253"/>
      <c r="C28" s="23">
        <f>C26</f>
        <v>180.91</v>
      </c>
    </row>
    <row r="29" spans="1:3" ht="16.5" thickBot="1" x14ac:dyDescent="0.3">
      <c r="A29" s="252" t="s">
        <v>21</v>
      </c>
      <c r="B29" s="253"/>
      <c r="C29" s="46">
        <v>23</v>
      </c>
    </row>
    <row r="30" spans="1:3" ht="16.5" thickBot="1" x14ac:dyDescent="0.3">
      <c r="A30" s="252" t="s">
        <v>22</v>
      </c>
      <c r="B30" s="253"/>
      <c r="C30" s="47">
        <f>C29*C28</f>
        <v>4160.93</v>
      </c>
    </row>
  </sheetData>
  <mergeCells count="5">
    <mergeCell ref="B2:C2"/>
    <mergeCell ref="A27:B27"/>
    <mergeCell ref="A28:B28"/>
    <mergeCell ref="A29:B29"/>
    <mergeCell ref="A30:B30"/>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48B0-49DA-48D3-B176-1FD35D62A61A}">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608</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609</v>
      </c>
      <c r="C12" s="36">
        <f>ROUND((12.97*12.834),2)</f>
        <v>166.46</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183.28</v>
      </c>
    </row>
    <row r="18" spans="1:3" ht="16.5" thickBot="1" x14ac:dyDescent="0.3">
      <c r="A18" s="130"/>
      <c r="B18" s="39" t="s">
        <v>8</v>
      </c>
      <c r="C18" s="103">
        <f>C17</f>
        <v>183.28</v>
      </c>
    </row>
    <row r="19" spans="1:3" ht="16.5" thickBot="1" x14ac:dyDescent="0.3">
      <c r="A19" s="34"/>
      <c r="B19" s="33" t="s">
        <v>9</v>
      </c>
      <c r="C19" s="36" t="s">
        <v>4</v>
      </c>
    </row>
    <row r="20" spans="1:3" ht="16.5" thickBot="1" x14ac:dyDescent="0.3">
      <c r="A20" s="1">
        <v>1100</v>
      </c>
      <c r="B20" s="180" t="s">
        <v>10</v>
      </c>
      <c r="C20" s="36">
        <v>5.93</v>
      </c>
    </row>
    <row r="21" spans="1:3" ht="16.5" thickBot="1" x14ac:dyDescent="0.3">
      <c r="A21" s="181">
        <v>2210</v>
      </c>
      <c r="B21" s="182" t="s">
        <v>11</v>
      </c>
      <c r="C21" s="92">
        <v>1.98</v>
      </c>
    </row>
    <row r="22" spans="1:3" ht="16.5" thickBot="1" x14ac:dyDescent="0.3">
      <c r="A22" s="183">
        <v>2242</v>
      </c>
      <c r="B22" s="184" t="s">
        <v>31</v>
      </c>
      <c r="C22" s="103">
        <v>2.91</v>
      </c>
    </row>
    <row r="23" spans="1:3" ht="16.5" thickBot="1" x14ac:dyDescent="0.3">
      <c r="A23" s="185">
        <v>2310</v>
      </c>
      <c r="B23" s="186" t="s">
        <v>15</v>
      </c>
      <c r="C23" s="103">
        <v>3.74</v>
      </c>
    </row>
    <row r="24" spans="1:3" ht="16.5" thickBot="1" x14ac:dyDescent="0.3">
      <c r="A24" s="46">
        <v>5200</v>
      </c>
      <c r="B24" s="187" t="s">
        <v>201</v>
      </c>
      <c r="C24" s="103">
        <v>3.77</v>
      </c>
    </row>
    <row r="25" spans="1:3" ht="16.5" thickBot="1" x14ac:dyDescent="0.3">
      <c r="A25" s="58"/>
      <c r="B25" s="139" t="s">
        <v>17</v>
      </c>
      <c r="C25" s="36">
        <f>SUM(C20:C24)</f>
        <v>18.330000000000002</v>
      </c>
    </row>
    <row r="26" spans="1:3" ht="16.5" thickBot="1" x14ac:dyDescent="0.3">
      <c r="A26" s="33"/>
      <c r="B26" s="45" t="s">
        <v>18</v>
      </c>
      <c r="C26" s="36">
        <f>C18+C25</f>
        <v>201.61</v>
      </c>
    </row>
    <row r="27" spans="1:3" ht="16.5" thickBot="1" x14ac:dyDescent="0.3">
      <c r="A27" s="264" t="s">
        <v>19</v>
      </c>
      <c r="B27" s="265"/>
      <c r="C27" s="48">
        <v>1</v>
      </c>
    </row>
    <row r="28" spans="1:3" ht="16.5" thickBot="1" x14ac:dyDescent="0.3">
      <c r="A28" s="252" t="s">
        <v>20</v>
      </c>
      <c r="B28" s="253"/>
      <c r="C28" s="23">
        <f>C26</f>
        <v>201.61</v>
      </c>
    </row>
    <row r="29" spans="1:3" ht="16.5" thickBot="1" x14ac:dyDescent="0.3">
      <c r="A29" s="252" t="s">
        <v>21</v>
      </c>
      <c r="B29" s="253"/>
      <c r="C29" s="46">
        <v>23</v>
      </c>
    </row>
    <row r="30" spans="1:3" ht="16.5" thickBot="1" x14ac:dyDescent="0.3">
      <c r="A30" s="252" t="s">
        <v>22</v>
      </c>
      <c r="B30" s="253"/>
      <c r="C30" s="47">
        <f>C29*C28</f>
        <v>4637.0300000000007</v>
      </c>
    </row>
  </sheetData>
  <mergeCells count="5">
    <mergeCell ref="B2:C2"/>
    <mergeCell ref="A27:B27"/>
    <mergeCell ref="A28:B28"/>
    <mergeCell ref="A29:B29"/>
    <mergeCell ref="A30:B3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2418-055A-48F1-A6AF-DA272E01273B}">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577</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610</v>
      </c>
      <c r="C12" s="36">
        <f>ROUND((12.97*14.285),2)</f>
        <v>185.28</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202.1</v>
      </c>
    </row>
    <row r="18" spans="1:3" ht="16.5" thickBot="1" x14ac:dyDescent="0.3">
      <c r="A18" s="130"/>
      <c r="B18" s="39" t="s">
        <v>8</v>
      </c>
      <c r="C18" s="103">
        <f>C17</f>
        <v>202.1</v>
      </c>
    </row>
    <row r="19" spans="1:3" ht="16.5" thickBot="1" x14ac:dyDescent="0.3">
      <c r="A19" s="34"/>
      <c r="B19" s="33" t="s">
        <v>9</v>
      </c>
      <c r="C19" s="36" t="s">
        <v>4</v>
      </c>
    </row>
    <row r="20" spans="1:3" ht="16.5" thickBot="1" x14ac:dyDescent="0.3">
      <c r="A20" s="1">
        <v>1100</v>
      </c>
      <c r="B20" s="180" t="s">
        <v>10</v>
      </c>
      <c r="C20" s="36">
        <v>6.54</v>
      </c>
    </row>
    <row r="21" spans="1:3" ht="16.5" thickBot="1" x14ac:dyDescent="0.3">
      <c r="A21" s="181">
        <v>2210</v>
      </c>
      <c r="B21" s="182" t="s">
        <v>11</v>
      </c>
      <c r="C21" s="92">
        <v>2.1800000000000002</v>
      </c>
    </row>
    <row r="22" spans="1:3" ht="16.5" thickBot="1" x14ac:dyDescent="0.3">
      <c r="A22" s="183">
        <v>2242</v>
      </c>
      <c r="B22" s="184" t="s">
        <v>31</v>
      </c>
      <c r="C22" s="103">
        <v>3.21</v>
      </c>
    </row>
    <row r="23" spans="1:3" ht="16.5" thickBot="1" x14ac:dyDescent="0.3">
      <c r="A23" s="185">
        <v>2310</v>
      </c>
      <c r="B23" s="186" t="s">
        <v>15</v>
      </c>
      <c r="C23" s="103">
        <v>4.13</v>
      </c>
    </row>
    <row r="24" spans="1:3" ht="16.5" thickBot="1" x14ac:dyDescent="0.3">
      <c r="A24" s="46">
        <v>5200</v>
      </c>
      <c r="B24" s="187" t="s">
        <v>201</v>
      </c>
      <c r="C24" s="103">
        <v>4.1500000000000004</v>
      </c>
    </row>
    <row r="25" spans="1:3" ht="16.5" thickBot="1" x14ac:dyDescent="0.3">
      <c r="A25" s="58"/>
      <c r="B25" s="139" t="s">
        <v>17</v>
      </c>
      <c r="C25" s="36">
        <f>SUM(C20:C24)</f>
        <v>20.21</v>
      </c>
    </row>
    <row r="26" spans="1:3" ht="16.5" thickBot="1" x14ac:dyDescent="0.3">
      <c r="A26" s="33"/>
      <c r="B26" s="45" t="s">
        <v>18</v>
      </c>
      <c r="C26" s="36">
        <f>C18+C25</f>
        <v>222.31</v>
      </c>
    </row>
    <row r="27" spans="1:3" ht="16.5" thickBot="1" x14ac:dyDescent="0.3">
      <c r="A27" s="264" t="s">
        <v>19</v>
      </c>
      <c r="B27" s="265"/>
      <c r="C27" s="48">
        <v>1</v>
      </c>
    </row>
    <row r="28" spans="1:3" ht="16.5" thickBot="1" x14ac:dyDescent="0.3">
      <c r="A28" s="252" t="s">
        <v>20</v>
      </c>
      <c r="B28" s="253"/>
      <c r="C28" s="23">
        <f>C26</f>
        <v>222.31</v>
      </c>
    </row>
    <row r="29" spans="1:3" ht="16.5" thickBot="1" x14ac:dyDescent="0.3">
      <c r="A29" s="252" t="s">
        <v>21</v>
      </c>
      <c r="B29" s="253"/>
      <c r="C29" s="46">
        <v>23</v>
      </c>
    </row>
    <row r="30" spans="1:3" ht="16.5" thickBot="1" x14ac:dyDescent="0.3">
      <c r="A30" s="252" t="s">
        <v>22</v>
      </c>
      <c r="B30" s="253"/>
      <c r="C30" s="47">
        <f>C29*C28</f>
        <v>5113.13</v>
      </c>
    </row>
  </sheetData>
  <mergeCells count="5">
    <mergeCell ref="B2:C2"/>
    <mergeCell ref="A27:B27"/>
    <mergeCell ref="A28:B28"/>
    <mergeCell ref="A29:B29"/>
    <mergeCell ref="A30:B3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402A-0EFD-4F62-B6DD-067E1FFE6461}">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578</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611</v>
      </c>
      <c r="C12" s="36">
        <f>ROUND((12.97*15.7364),2)</f>
        <v>204.1</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220.92</v>
      </c>
    </row>
    <row r="18" spans="1:3" ht="16.5" thickBot="1" x14ac:dyDescent="0.3">
      <c r="A18" s="130"/>
      <c r="B18" s="39" t="s">
        <v>8</v>
      </c>
      <c r="C18" s="103">
        <f>C17</f>
        <v>220.92</v>
      </c>
    </row>
    <row r="19" spans="1:3" ht="16.5" thickBot="1" x14ac:dyDescent="0.3">
      <c r="A19" s="34"/>
      <c r="B19" s="33" t="s">
        <v>9</v>
      </c>
      <c r="C19" s="36" t="s">
        <v>4</v>
      </c>
    </row>
    <row r="20" spans="1:3" ht="16.5" thickBot="1" x14ac:dyDescent="0.3">
      <c r="A20" s="1">
        <v>1100</v>
      </c>
      <c r="B20" s="180" t="s">
        <v>10</v>
      </c>
      <c r="C20" s="36">
        <v>7.15</v>
      </c>
    </row>
    <row r="21" spans="1:3" ht="16.5" thickBot="1" x14ac:dyDescent="0.3">
      <c r="A21" s="181">
        <v>2210</v>
      </c>
      <c r="B21" s="182" t="s">
        <v>11</v>
      </c>
      <c r="C21" s="92">
        <v>2.39</v>
      </c>
    </row>
    <row r="22" spans="1:3" ht="16.5" thickBot="1" x14ac:dyDescent="0.3">
      <c r="A22" s="183">
        <v>2242</v>
      </c>
      <c r="B22" s="184" t="s">
        <v>31</v>
      </c>
      <c r="C22" s="103">
        <v>3.5</v>
      </c>
    </row>
    <row r="23" spans="1:3" ht="16.5" thickBot="1" x14ac:dyDescent="0.3">
      <c r="A23" s="185">
        <v>2310</v>
      </c>
      <c r="B23" s="186" t="s">
        <v>15</v>
      </c>
      <c r="C23" s="103">
        <v>4.51</v>
      </c>
    </row>
    <row r="24" spans="1:3" ht="16.5" thickBot="1" x14ac:dyDescent="0.3">
      <c r="A24" s="46">
        <v>5200</v>
      </c>
      <c r="B24" s="187" t="s">
        <v>201</v>
      </c>
      <c r="C24" s="103">
        <v>4.54</v>
      </c>
    </row>
    <row r="25" spans="1:3" ht="16.5" thickBot="1" x14ac:dyDescent="0.3">
      <c r="A25" s="58"/>
      <c r="B25" s="139" t="s">
        <v>17</v>
      </c>
      <c r="C25" s="36">
        <f>SUM(C20:C24)</f>
        <v>22.09</v>
      </c>
    </row>
    <row r="26" spans="1:3" ht="16.5" thickBot="1" x14ac:dyDescent="0.3">
      <c r="A26" s="33"/>
      <c r="B26" s="45" t="s">
        <v>18</v>
      </c>
      <c r="C26" s="36">
        <f>C18+C25</f>
        <v>243.01</v>
      </c>
    </row>
    <row r="27" spans="1:3" ht="16.5" thickBot="1" x14ac:dyDescent="0.3">
      <c r="A27" s="264" t="s">
        <v>19</v>
      </c>
      <c r="B27" s="265"/>
      <c r="C27" s="48">
        <v>1</v>
      </c>
    </row>
    <row r="28" spans="1:3" ht="16.5" thickBot="1" x14ac:dyDescent="0.3">
      <c r="A28" s="252" t="s">
        <v>20</v>
      </c>
      <c r="B28" s="253"/>
      <c r="C28" s="23">
        <f>C26</f>
        <v>243.01</v>
      </c>
    </row>
    <row r="29" spans="1:3" ht="16.5" thickBot="1" x14ac:dyDescent="0.3">
      <c r="A29" s="252" t="s">
        <v>21</v>
      </c>
      <c r="B29" s="253"/>
      <c r="C29" s="46">
        <v>23</v>
      </c>
    </row>
    <row r="30" spans="1:3" ht="16.5" thickBot="1" x14ac:dyDescent="0.3">
      <c r="A30" s="252" t="s">
        <v>22</v>
      </c>
      <c r="B30" s="253"/>
      <c r="C30" s="47">
        <f>C29*C28</f>
        <v>5589.23</v>
      </c>
    </row>
  </sheetData>
  <mergeCells count="5">
    <mergeCell ref="B2:C2"/>
    <mergeCell ref="A27:B27"/>
    <mergeCell ref="A28:B28"/>
    <mergeCell ref="A29:B29"/>
    <mergeCell ref="A30:B3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8DF2-68D9-43CF-849D-AC3470C70EBC}">
  <sheetPr>
    <tabColor theme="9" tint="0.79998168889431442"/>
  </sheetPr>
  <dimension ref="A1:C30"/>
  <sheetViews>
    <sheetView zoomScale="70" zoomScaleNormal="70" workbookViewId="0">
      <selection activeCell="H25" sqref="H25"/>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568</v>
      </c>
      <c r="C3" s="152"/>
    </row>
    <row r="4" spans="1:3" ht="15.75" x14ac:dyDescent="0.25">
      <c r="A4" s="149"/>
      <c r="B4" s="170" t="s">
        <v>579</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612</v>
      </c>
      <c r="C12" s="36">
        <f>ROUND((12.97*17.187),2)</f>
        <v>222.92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0.16</v>
      </c>
    </row>
    <row r="16" spans="1:3" ht="16.5" thickBot="1" x14ac:dyDescent="0.3">
      <c r="A16" s="33">
        <v>2210</v>
      </c>
      <c r="B16" s="37" t="s">
        <v>246</v>
      </c>
      <c r="C16" s="36">
        <v>0.22</v>
      </c>
    </row>
    <row r="17" spans="1:3" ht="16.5" thickBot="1" x14ac:dyDescent="0.3">
      <c r="A17" s="33"/>
      <c r="B17" s="39" t="s">
        <v>247</v>
      </c>
      <c r="C17" s="36">
        <f>C12+C13+C14+C15+C16</f>
        <v>239.73999999999998</v>
      </c>
    </row>
    <row r="18" spans="1:3" ht="16.5" thickBot="1" x14ac:dyDescent="0.3">
      <c r="A18" s="130"/>
      <c r="B18" s="39" t="s">
        <v>8</v>
      </c>
      <c r="C18" s="103">
        <f>C17</f>
        <v>239.73999999999998</v>
      </c>
    </row>
    <row r="19" spans="1:3" ht="16.5" thickBot="1" x14ac:dyDescent="0.3">
      <c r="A19" s="34"/>
      <c r="B19" s="33" t="s">
        <v>9</v>
      </c>
      <c r="C19" s="36" t="s">
        <v>4</v>
      </c>
    </row>
    <row r="20" spans="1:3" ht="16.5" thickBot="1" x14ac:dyDescent="0.3">
      <c r="A20" s="1">
        <v>1100</v>
      </c>
      <c r="B20" s="180" t="s">
        <v>10</v>
      </c>
      <c r="C20" s="36">
        <v>7.75</v>
      </c>
    </row>
    <row r="21" spans="1:3" ht="16.5" thickBot="1" x14ac:dyDescent="0.3">
      <c r="A21" s="181">
        <v>2210</v>
      </c>
      <c r="B21" s="182" t="s">
        <v>11</v>
      </c>
      <c r="C21" s="92">
        <v>2.59</v>
      </c>
    </row>
    <row r="22" spans="1:3" ht="16.5" thickBot="1" x14ac:dyDescent="0.3">
      <c r="A22" s="183">
        <v>2242</v>
      </c>
      <c r="B22" s="184" t="s">
        <v>31</v>
      </c>
      <c r="C22" s="103">
        <v>3.8</v>
      </c>
    </row>
    <row r="23" spans="1:3" ht="16.5" thickBot="1" x14ac:dyDescent="0.3">
      <c r="A23" s="185">
        <v>2310</v>
      </c>
      <c r="B23" s="186" t="s">
        <v>15</v>
      </c>
      <c r="C23" s="103">
        <v>4.9000000000000004</v>
      </c>
    </row>
    <row r="24" spans="1:3" ht="16.5" thickBot="1" x14ac:dyDescent="0.3">
      <c r="A24" s="46">
        <v>5200</v>
      </c>
      <c r="B24" s="187" t="s">
        <v>201</v>
      </c>
      <c r="C24" s="103">
        <v>4.93</v>
      </c>
    </row>
    <row r="25" spans="1:3" ht="16.5" thickBot="1" x14ac:dyDescent="0.3">
      <c r="A25" s="58"/>
      <c r="B25" s="139" t="s">
        <v>17</v>
      </c>
      <c r="C25" s="36">
        <f>SUM(C20:C24)</f>
        <v>23.97</v>
      </c>
    </row>
    <row r="26" spans="1:3" ht="16.5" thickBot="1" x14ac:dyDescent="0.3">
      <c r="A26" s="33"/>
      <c r="B26" s="45" t="s">
        <v>18</v>
      </c>
      <c r="C26" s="36">
        <f>C18+C25</f>
        <v>263.70999999999998</v>
      </c>
    </row>
    <row r="27" spans="1:3" ht="16.5" thickBot="1" x14ac:dyDescent="0.3">
      <c r="A27" s="264" t="s">
        <v>19</v>
      </c>
      <c r="B27" s="265"/>
      <c r="C27" s="48">
        <v>1</v>
      </c>
    </row>
    <row r="28" spans="1:3" ht="16.5" thickBot="1" x14ac:dyDescent="0.3">
      <c r="A28" s="252" t="s">
        <v>20</v>
      </c>
      <c r="B28" s="253"/>
      <c r="C28" s="23">
        <f>C26</f>
        <v>263.70999999999998</v>
      </c>
    </row>
    <row r="29" spans="1:3" ht="16.5" thickBot="1" x14ac:dyDescent="0.3">
      <c r="A29" s="252" t="s">
        <v>21</v>
      </c>
      <c r="B29" s="253"/>
      <c r="C29" s="46">
        <v>23</v>
      </c>
    </row>
    <row r="30" spans="1:3" ht="16.5" thickBot="1" x14ac:dyDescent="0.3">
      <c r="A30" s="252" t="s">
        <v>22</v>
      </c>
      <c r="B30" s="253"/>
      <c r="C30" s="47">
        <f>C29*C28</f>
        <v>6065.33</v>
      </c>
    </row>
  </sheetData>
  <mergeCells count="5">
    <mergeCell ref="B2:C2"/>
    <mergeCell ref="A27:B27"/>
    <mergeCell ref="A28:B28"/>
    <mergeCell ref="A29:B29"/>
    <mergeCell ref="A30:B3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A823-9471-471E-8655-E67082A2F64C}">
  <sheetPr>
    <tabColor theme="9" tint="0.79998168889431442"/>
  </sheetPr>
  <dimension ref="A1:D34"/>
  <sheetViews>
    <sheetView topLeftCell="A14" zoomScaleNormal="100" workbookViewId="0">
      <selection activeCell="F37" sqref="F37"/>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580</v>
      </c>
      <c r="C3" s="152"/>
    </row>
    <row r="4" spans="1:3" x14ac:dyDescent="0.25">
      <c r="A4" s="149"/>
      <c r="B4" s="170" t="s">
        <v>581</v>
      </c>
      <c r="C4" s="152"/>
    </row>
    <row r="5" spans="1:3" x14ac:dyDescent="0.25">
      <c r="A5" s="151" t="s">
        <v>71</v>
      </c>
      <c r="B5" s="152" t="s">
        <v>203</v>
      </c>
      <c r="C5" s="152"/>
    </row>
    <row r="7" spans="1:3" ht="16.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613</v>
      </c>
      <c r="C12" s="36">
        <f>ROUND((12.97*0.827),2)</f>
        <v>10.73</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4" ht="16.5" thickBot="1" x14ac:dyDescent="0.3">
      <c r="A17" s="33"/>
      <c r="B17" s="39" t="s">
        <v>247</v>
      </c>
      <c r="C17" s="36">
        <f>C12+C13+C14+C15+C16</f>
        <v>27.65</v>
      </c>
    </row>
    <row r="18" spans="1:4" ht="16.5" thickBot="1" x14ac:dyDescent="0.3">
      <c r="A18" s="130"/>
      <c r="B18" s="39" t="s">
        <v>8</v>
      </c>
      <c r="C18" s="103">
        <f>C17</f>
        <v>27.65</v>
      </c>
    </row>
    <row r="19" spans="1:4" ht="16.5" thickBot="1" x14ac:dyDescent="0.3">
      <c r="A19" s="34"/>
      <c r="B19" s="33" t="s">
        <v>9</v>
      </c>
      <c r="C19" s="36" t="s">
        <v>4</v>
      </c>
    </row>
    <row r="20" spans="1:4" ht="16.5" thickBot="1" x14ac:dyDescent="0.3">
      <c r="A20" s="1">
        <v>1100</v>
      </c>
      <c r="B20" s="180" t="s">
        <v>10</v>
      </c>
      <c r="C20" s="36">
        <v>0.88</v>
      </c>
    </row>
    <row r="21" spans="1:4" ht="16.5" thickBot="1" x14ac:dyDescent="0.3">
      <c r="A21" s="181">
        <v>2210</v>
      </c>
      <c r="B21" s="182" t="s">
        <v>11</v>
      </c>
      <c r="C21" s="92">
        <v>0.3</v>
      </c>
    </row>
    <row r="22" spans="1:4" ht="16.5" thickBot="1" x14ac:dyDescent="0.3">
      <c r="A22" s="183">
        <v>2242</v>
      </c>
      <c r="B22" s="184" t="s">
        <v>31</v>
      </c>
      <c r="C22" s="103">
        <v>0.44</v>
      </c>
    </row>
    <row r="23" spans="1:4" ht="16.5" thickBot="1" x14ac:dyDescent="0.3">
      <c r="A23" s="185">
        <v>2310</v>
      </c>
      <c r="B23" s="186" t="s">
        <v>15</v>
      </c>
      <c r="C23" s="103">
        <v>0.56000000000000005</v>
      </c>
    </row>
    <row r="24" spans="1:4" ht="16.5" thickBot="1" x14ac:dyDescent="0.3">
      <c r="A24" s="46">
        <v>5200</v>
      </c>
      <c r="B24" s="187" t="s">
        <v>201</v>
      </c>
      <c r="C24" s="103">
        <v>0.56999999999999995</v>
      </c>
    </row>
    <row r="25" spans="1:4" ht="16.5" thickBot="1" x14ac:dyDescent="0.3">
      <c r="A25" s="58"/>
      <c r="B25" s="139" t="s">
        <v>17</v>
      </c>
      <c r="C25" s="36">
        <f>SUM(C20:C24)</f>
        <v>2.7499999999999996</v>
      </c>
    </row>
    <row r="26" spans="1:4" ht="16.5" thickBot="1" x14ac:dyDescent="0.3">
      <c r="A26" s="33"/>
      <c r="B26" s="45" t="s">
        <v>18</v>
      </c>
      <c r="C26" s="36">
        <f>C18+C25</f>
        <v>30.4</v>
      </c>
      <c r="D26" s="171"/>
    </row>
    <row r="27" spans="1:4" ht="15.95" customHeight="1" thickBot="1" x14ac:dyDescent="0.3">
      <c r="A27" s="264" t="s">
        <v>19</v>
      </c>
      <c r="B27" s="265"/>
      <c r="C27" s="48">
        <v>1</v>
      </c>
    </row>
    <row r="28" spans="1:4" ht="15.95" customHeight="1" thickBot="1" x14ac:dyDescent="0.3">
      <c r="A28" s="252" t="s">
        <v>20</v>
      </c>
      <c r="B28" s="253"/>
      <c r="C28" s="23">
        <f>C26</f>
        <v>30.4</v>
      </c>
    </row>
    <row r="29" spans="1:4" ht="15.95" customHeight="1" thickBot="1" x14ac:dyDescent="0.3">
      <c r="A29" s="252" t="s">
        <v>21</v>
      </c>
      <c r="B29" s="253"/>
      <c r="C29" s="46">
        <v>17</v>
      </c>
    </row>
    <row r="30" spans="1:4" ht="15.95" customHeight="1" x14ac:dyDescent="0.25">
      <c r="A30" s="252" t="s">
        <v>22</v>
      </c>
      <c r="B30" s="253"/>
      <c r="C30" s="244">
        <f>C29*C28</f>
        <v>516.79999999999995</v>
      </c>
    </row>
    <row r="31" spans="1:4" x14ac:dyDescent="0.25">
      <c r="C31" s="247">
        <v>17.2</v>
      </c>
    </row>
    <row r="32" spans="1:4" x14ac:dyDescent="0.25">
      <c r="C32" s="245">
        <v>17</v>
      </c>
    </row>
    <row r="33" spans="1:3" x14ac:dyDescent="0.25">
      <c r="C33" s="245">
        <f>C31*C32</f>
        <v>292.39999999999998</v>
      </c>
    </row>
    <row r="34" spans="1:3" ht="33" customHeight="1" x14ac:dyDescent="0.25">
      <c r="A34" s="263" t="s">
        <v>698</v>
      </c>
      <c r="B34" s="263"/>
      <c r="C34" s="263"/>
    </row>
  </sheetData>
  <mergeCells count="6">
    <mergeCell ref="A34:C34"/>
    <mergeCell ref="B2:C2"/>
    <mergeCell ref="A27:B27"/>
    <mergeCell ref="A28:B28"/>
    <mergeCell ref="A29:B29"/>
    <mergeCell ref="A30:B3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BD61-42E7-431E-9A38-E1592D4724E7}">
  <sheetPr>
    <tabColor theme="9" tint="0.79998168889431442"/>
  </sheetPr>
  <dimension ref="A1:C30"/>
  <sheetViews>
    <sheetView zoomScale="70" zoomScaleNormal="70" workbookViewId="0">
      <selection activeCell="A8" sqref="A8:C30"/>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582</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613</v>
      </c>
      <c r="C12" s="36">
        <f>ROUND((12.97*0.827),2)</f>
        <v>10.73</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27.65</v>
      </c>
    </row>
    <row r="18" spans="1:3" ht="16.5" thickBot="1" x14ac:dyDescent="0.3">
      <c r="A18" s="130"/>
      <c r="B18" s="39" t="s">
        <v>8</v>
      </c>
      <c r="C18" s="103">
        <f>C17</f>
        <v>27.65</v>
      </c>
    </row>
    <row r="19" spans="1:3" ht="16.5" thickBot="1" x14ac:dyDescent="0.3">
      <c r="A19" s="34"/>
      <c r="B19" s="33" t="s">
        <v>9</v>
      </c>
      <c r="C19" s="36" t="s">
        <v>4</v>
      </c>
    </row>
    <row r="20" spans="1:3" ht="16.5" thickBot="1" x14ac:dyDescent="0.3">
      <c r="A20" s="1">
        <v>1100</v>
      </c>
      <c r="B20" s="180" t="s">
        <v>10</v>
      </c>
      <c r="C20" s="36">
        <v>0.88</v>
      </c>
    </row>
    <row r="21" spans="1:3" ht="16.5" thickBot="1" x14ac:dyDescent="0.3">
      <c r="A21" s="181">
        <v>2210</v>
      </c>
      <c r="B21" s="182" t="s">
        <v>11</v>
      </c>
      <c r="C21" s="92">
        <v>0.3</v>
      </c>
    </row>
    <row r="22" spans="1:3" ht="16.5" thickBot="1" x14ac:dyDescent="0.3">
      <c r="A22" s="183">
        <v>2242</v>
      </c>
      <c r="B22" s="184" t="s">
        <v>31</v>
      </c>
      <c r="C22" s="103">
        <v>0.44</v>
      </c>
    </row>
    <row r="23" spans="1:3" ht="16.5" thickBot="1" x14ac:dyDescent="0.3">
      <c r="A23" s="185">
        <v>2310</v>
      </c>
      <c r="B23" s="186" t="s">
        <v>15</v>
      </c>
      <c r="C23" s="103">
        <v>0.56000000000000005</v>
      </c>
    </row>
    <row r="24" spans="1:3" ht="16.5" thickBot="1" x14ac:dyDescent="0.3">
      <c r="A24" s="46">
        <v>5200</v>
      </c>
      <c r="B24" s="187" t="s">
        <v>201</v>
      </c>
      <c r="C24" s="103">
        <v>0.56999999999999995</v>
      </c>
    </row>
    <row r="25" spans="1:3" ht="16.5" thickBot="1" x14ac:dyDescent="0.3">
      <c r="A25" s="58"/>
      <c r="B25" s="139" t="s">
        <v>17</v>
      </c>
      <c r="C25" s="36">
        <f>SUM(C20:C24)</f>
        <v>2.7499999999999996</v>
      </c>
    </row>
    <row r="26" spans="1:3" ht="16.5" thickBot="1" x14ac:dyDescent="0.3">
      <c r="A26" s="33"/>
      <c r="B26" s="45" t="s">
        <v>18</v>
      </c>
      <c r="C26" s="36">
        <f>C18+C25</f>
        <v>30.4</v>
      </c>
    </row>
    <row r="27" spans="1:3" ht="16.5" thickBot="1" x14ac:dyDescent="0.3">
      <c r="A27" s="264" t="s">
        <v>19</v>
      </c>
      <c r="B27" s="265"/>
      <c r="C27" s="48">
        <v>1</v>
      </c>
    </row>
    <row r="28" spans="1:3" ht="16.5" thickBot="1" x14ac:dyDescent="0.3">
      <c r="A28" s="252" t="s">
        <v>20</v>
      </c>
      <c r="B28" s="253"/>
      <c r="C28" s="23">
        <f>C26</f>
        <v>30.4</v>
      </c>
    </row>
    <row r="29" spans="1:3" ht="16.5" thickBot="1" x14ac:dyDescent="0.3">
      <c r="A29" s="252" t="s">
        <v>21</v>
      </c>
      <c r="B29" s="253"/>
      <c r="C29" s="46">
        <v>17</v>
      </c>
    </row>
    <row r="30" spans="1:3" ht="16.5" thickBot="1" x14ac:dyDescent="0.3">
      <c r="A30" s="252" t="s">
        <v>22</v>
      </c>
      <c r="B30" s="253"/>
      <c r="C30" s="47">
        <f>C29*C28</f>
        <v>516.79999999999995</v>
      </c>
    </row>
  </sheetData>
  <mergeCells count="5">
    <mergeCell ref="B2:C2"/>
    <mergeCell ref="A27:B27"/>
    <mergeCell ref="A28:B28"/>
    <mergeCell ref="A29:B29"/>
    <mergeCell ref="A30:B30"/>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F6EC1-287E-49BC-A59A-61BE264CAAC7}">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583</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614</v>
      </c>
      <c r="C12" s="36">
        <f>ROUND((12.97*1.752),2)</f>
        <v>22.72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39.639999999999993</v>
      </c>
    </row>
    <row r="18" spans="1:3" ht="16.5" thickBot="1" x14ac:dyDescent="0.3">
      <c r="A18" s="130"/>
      <c r="B18" s="39" t="s">
        <v>8</v>
      </c>
      <c r="C18" s="103">
        <f>C17</f>
        <v>39.639999999999993</v>
      </c>
    </row>
    <row r="19" spans="1:3" ht="16.5" thickBot="1" x14ac:dyDescent="0.3">
      <c r="A19" s="34"/>
      <c r="B19" s="33" t="s">
        <v>9</v>
      </c>
      <c r="C19" s="36" t="s">
        <v>4</v>
      </c>
    </row>
    <row r="20" spans="1:3" ht="16.5" thickBot="1" x14ac:dyDescent="0.3">
      <c r="A20" s="1">
        <v>1100</v>
      </c>
      <c r="B20" s="180" t="s">
        <v>10</v>
      </c>
      <c r="C20" s="36">
        <v>1.28</v>
      </c>
    </row>
    <row r="21" spans="1:3" ht="16.5" thickBot="1" x14ac:dyDescent="0.3">
      <c r="A21" s="181">
        <v>2210</v>
      </c>
      <c r="B21" s="182" t="s">
        <v>11</v>
      </c>
      <c r="C21" s="92">
        <v>0.43</v>
      </c>
    </row>
    <row r="22" spans="1:3" ht="16.5" thickBot="1" x14ac:dyDescent="0.3">
      <c r="A22" s="183">
        <v>2242</v>
      </c>
      <c r="B22" s="184" t="s">
        <v>31</v>
      </c>
      <c r="C22" s="103">
        <v>0.63</v>
      </c>
    </row>
    <row r="23" spans="1:3" ht="16.5" thickBot="1" x14ac:dyDescent="0.3">
      <c r="A23" s="185">
        <v>2310</v>
      </c>
      <c r="B23" s="186" t="s">
        <v>15</v>
      </c>
      <c r="C23" s="103">
        <v>0.81</v>
      </c>
    </row>
    <row r="24" spans="1:3" ht="16.5" thickBot="1" x14ac:dyDescent="0.3">
      <c r="A24" s="46">
        <v>5200</v>
      </c>
      <c r="B24" s="187" t="s">
        <v>201</v>
      </c>
      <c r="C24" s="103">
        <v>0.81</v>
      </c>
    </row>
    <row r="25" spans="1:3" ht="16.5" thickBot="1" x14ac:dyDescent="0.3">
      <c r="A25" s="58"/>
      <c r="B25" s="139" t="s">
        <v>17</v>
      </c>
      <c r="C25" s="36">
        <f>SUM(C20:C24)</f>
        <v>3.96</v>
      </c>
    </row>
    <row r="26" spans="1:3" ht="16.5" thickBot="1" x14ac:dyDescent="0.3">
      <c r="A26" s="33"/>
      <c r="B26" s="45" t="s">
        <v>18</v>
      </c>
      <c r="C26" s="36">
        <f>C18+C25</f>
        <v>43.599999999999994</v>
      </c>
    </row>
    <row r="27" spans="1:3" ht="16.5" thickBot="1" x14ac:dyDescent="0.3">
      <c r="A27" s="264" t="s">
        <v>19</v>
      </c>
      <c r="B27" s="265"/>
      <c r="C27" s="48">
        <v>1</v>
      </c>
    </row>
    <row r="28" spans="1:3" ht="16.5" thickBot="1" x14ac:dyDescent="0.3">
      <c r="A28" s="252" t="s">
        <v>20</v>
      </c>
      <c r="B28" s="253"/>
      <c r="C28" s="23">
        <f>C26</f>
        <v>43.599999999999994</v>
      </c>
    </row>
    <row r="29" spans="1:3" ht="16.5" thickBot="1" x14ac:dyDescent="0.3">
      <c r="A29" s="252" t="s">
        <v>21</v>
      </c>
      <c r="B29" s="253"/>
      <c r="C29" s="46">
        <v>17</v>
      </c>
    </row>
    <row r="30" spans="1:3" ht="16.5" thickBot="1" x14ac:dyDescent="0.3">
      <c r="A30" s="252" t="s">
        <v>22</v>
      </c>
      <c r="B30" s="253"/>
      <c r="C30" s="47">
        <f>C29*C28</f>
        <v>741.19999999999993</v>
      </c>
    </row>
  </sheetData>
  <mergeCells count="5">
    <mergeCell ref="A28:B28"/>
    <mergeCell ref="A29:B29"/>
    <mergeCell ref="A30:B30"/>
    <mergeCell ref="B2:C2"/>
    <mergeCell ref="A27:B2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B652-CDCD-456C-9C9C-B4D28A96504D}">
  <sheetPr>
    <tabColor theme="9" tint="0.79998168889431442"/>
  </sheetPr>
  <dimension ref="A1:C30"/>
  <sheetViews>
    <sheetView tabSelected="1" zoomScale="70" zoomScaleNormal="70" workbookViewId="0">
      <selection activeCell="I17" sqref="I17"/>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584</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600</v>
      </c>
      <c r="C12" s="36">
        <f>ROUND((12.97*2.677),2)</f>
        <v>34.72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51.639999999999993</v>
      </c>
    </row>
    <row r="18" spans="1:3" ht="16.5" thickBot="1" x14ac:dyDescent="0.3">
      <c r="A18" s="130"/>
      <c r="B18" s="39" t="s">
        <v>8</v>
      </c>
      <c r="C18" s="103">
        <f>C17</f>
        <v>51.639999999999993</v>
      </c>
    </row>
    <row r="19" spans="1:3" ht="16.5" thickBot="1" x14ac:dyDescent="0.3">
      <c r="A19" s="34"/>
      <c r="B19" s="33" t="s">
        <v>9</v>
      </c>
      <c r="C19" s="36" t="s">
        <v>4</v>
      </c>
    </row>
    <row r="20" spans="1:3" ht="16.5" thickBot="1" x14ac:dyDescent="0.3">
      <c r="A20" s="1">
        <v>1100</v>
      </c>
      <c r="B20" s="180" t="s">
        <v>10</v>
      </c>
      <c r="C20" s="36">
        <v>1.67</v>
      </c>
    </row>
    <row r="21" spans="1:3" ht="16.5" thickBot="1" x14ac:dyDescent="0.3">
      <c r="A21" s="181">
        <v>2210</v>
      </c>
      <c r="B21" s="182" t="s">
        <v>11</v>
      </c>
      <c r="C21" s="92">
        <v>0.56000000000000005</v>
      </c>
    </row>
    <row r="22" spans="1:3" ht="16.5" thickBot="1" x14ac:dyDescent="0.3">
      <c r="A22" s="183">
        <v>2242</v>
      </c>
      <c r="B22" s="184" t="s">
        <v>31</v>
      </c>
      <c r="C22" s="103">
        <v>0.82</v>
      </c>
    </row>
    <row r="23" spans="1:3" ht="16.5" thickBot="1" x14ac:dyDescent="0.3">
      <c r="A23" s="185">
        <v>2310</v>
      </c>
      <c r="B23" s="186" t="s">
        <v>15</v>
      </c>
      <c r="C23" s="103">
        <v>1.05</v>
      </c>
    </row>
    <row r="24" spans="1:3" ht="16.5" thickBot="1" x14ac:dyDescent="0.3">
      <c r="A24" s="46">
        <v>5200</v>
      </c>
      <c r="B24" s="187" t="s">
        <v>201</v>
      </c>
      <c r="C24" s="103">
        <v>1.06</v>
      </c>
    </row>
    <row r="25" spans="1:3" ht="16.5" thickBot="1" x14ac:dyDescent="0.3">
      <c r="A25" s="58"/>
      <c r="B25" s="139" t="s">
        <v>17</v>
      </c>
      <c r="C25" s="36">
        <f>SUM(C20:C24)</f>
        <v>5.16</v>
      </c>
    </row>
    <row r="26" spans="1:3" ht="16.5" thickBot="1" x14ac:dyDescent="0.3">
      <c r="A26" s="33"/>
      <c r="B26" s="45" t="s">
        <v>18</v>
      </c>
      <c r="C26" s="36">
        <f>C18+C25</f>
        <v>56.8</v>
      </c>
    </row>
    <row r="27" spans="1:3" ht="16.5" thickBot="1" x14ac:dyDescent="0.3">
      <c r="A27" s="264" t="s">
        <v>19</v>
      </c>
      <c r="B27" s="265"/>
      <c r="C27" s="48">
        <v>1</v>
      </c>
    </row>
    <row r="28" spans="1:3" ht="16.5" thickBot="1" x14ac:dyDescent="0.3">
      <c r="A28" s="252" t="s">
        <v>20</v>
      </c>
      <c r="B28" s="253"/>
      <c r="C28" s="23">
        <f>C26</f>
        <v>56.8</v>
      </c>
    </row>
    <row r="29" spans="1:3" ht="16.5" thickBot="1" x14ac:dyDescent="0.3">
      <c r="A29" s="252" t="s">
        <v>21</v>
      </c>
      <c r="B29" s="253"/>
      <c r="C29" s="46">
        <v>17</v>
      </c>
    </row>
    <row r="30" spans="1:3" ht="16.5" thickBot="1" x14ac:dyDescent="0.3">
      <c r="A30" s="252" t="s">
        <v>22</v>
      </c>
      <c r="B30" s="253"/>
      <c r="C30" s="47">
        <f>C29*C28</f>
        <v>965.59999999999991</v>
      </c>
    </row>
  </sheetData>
  <mergeCells count="5">
    <mergeCell ref="B2:C2"/>
    <mergeCell ref="A27:B27"/>
    <mergeCell ref="A28:B28"/>
    <mergeCell ref="A29:B29"/>
    <mergeCell ref="A30:B30"/>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F074-CB5A-418B-9DF2-1868A0722705}">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585</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615</v>
      </c>
      <c r="C12" s="36">
        <f>ROUND((12.97*3.6025),2)</f>
        <v>46.72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63.639999999999993</v>
      </c>
    </row>
    <row r="18" spans="1:3" ht="16.5" thickBot="1" x14ac:dyDescent="0.3">
      <c r="A18" s="130"/>
      <c r="B18" s="39" t="s">
        <v>8</v>
      </c>
      <c r="C18" s="103">
        <f>C17</f>
        <v>63.639999999999993</v>
      </c>
    </row>
    <row r="19" spans="1:3" ht="16.5" thickBot="1" x14ac:dyDescent="0.3">
      <c r="A19" s="34"/>
      <c r="B19" s="33" t="s">
        <v>9</v>
      </c>
      <c r="C19" s="36" t="s">
        <v>4</v>
      </c>
    </row>
    <row r="20" spans="1:3" ht="16.5" thickBot="1" x14ac:dyDescent="0.3">
      <c r="A20" s="1">
        <v>1100</v>
      </c>
      <c r="B20" s="180" t="s">
        <v>10</v>
      </c>
      <c r="C20" s="36">
        <v>2.0499999999999998</v>
      </c>
    </row>
    <row r="21" spans="1:3" ht="16.5" thickBot="1" x14ac:dyDescent="0.3">
      <c r="A21" s="181">
        <v>2210</v>
      </c>
      <c r="B21" s="182" t="s">
        <v>11</v>
      </c>
      <c r="C21" s="92">
        <v>0.69</v>
      </c>
    </row>
    <row r="22" spans="1:3" ht="16.5" thickBot="1" x14ac:dyDescent="0.3">
      <c r="A22" s="183">
        <v>2242</v>
      </c>
      <c r="B22" s="184" t="s">
        <v>31</v>
      </c>
      <c r="C22" s="103">
        <v>1.01</v>
      </c>
    </row>
    <row r="23" spans="1:3" ht="16.5" thickBot="1" x14ac:dyDescent="0.3">
      <c r="A23" s="185">
        <v>2310</v>
      </c>
      <c r="B23" s="186" t="s">
        <v>15</v>
      </c>
      <c r="C23" s="103">
        <v>1.3</v>
      </c>
    </row>
    <row r="24" spans="1:3" ht="16.5" thickBot="1" x14ac:dyDescent="0.3">
      <c r="A24" s="46">
        <v>5200</v>
      </c>
      <c r="B24" s="187" t="s">
        <v>201</v>
      </c>
      <c r="C24" s="103">
        <v>1.31</v>
      </c>
    </row>
    <row r="25" spans="1:3" ht="16.5" thickBot="1" x14ac:dyDescent="0.3">
      <c r="A25" s="58"/>
      <c r="B25" s="139" t="s">
        <v>17</v>
      </c>
      <c r="C25" s="36">
        <f>SUM(C20:C24)</f>
        <v>6.3599999999999994</v>
      </c>
    </row>
    <row r="26" spans="1:3" ht="16.5" thickBot="1" x14ac:dyDescent="0.3">
      <c r="A26" s="33"/>
      <c r="B26" s="45" t="s">
        <v>18</v>
      </c>
      <c r="C26" s="36">
        <f>C18+C25</f>
        <v>70</v>
      </c>
    </row>
    <row r="27" spans="1:3" ht="16.5" thickBot="1" x14ac:dyDescent="0.3">
      <c r="A27" s="264" t="s">
        <v>19</v>
      </c>
      <c r="B27" s="265"/>
      <c r="C27" s="48">
        <v>1</v>
      </c>
    </row>
    <row r="28" spans="1:3" ht="16.5" thickBot="1" x14ac:dyDescent="0.3">
      <c r="A28" s="252" t="s">
        <v>20</v>
      </c>
      <c r="B28" s="253"/>
      <c r="C28" s="23">
        <f>C26</f>
        <v>70</v>
      </c>
    </row>
    <row r="29" spans="1:3" ht="16.5" thickBot="1" x14ac:dyDescent="0.3">
      <c r="A29" s="252" t="s">
        <v>21</v>
      </c>
      <c r="B29" s="253"/>
      <c r="C29" s="46">
        <v>17</v>
      </c>
    </row>
    <row r="30" spans="1:3" ht="16.5" thickBot="1" x14ac:dyDescent="0.3">
      <c r="A30" s="252" t="s">
        <v>22</v>
      </c>
      <c r="B30" s="253"/>
      <c r="C30" s="47">
        <f>C29*C28</f>
        <v>1190</v>
      </c>
    </row>
  </sheetData>
  <mergeCells count="5">
    <mergeCell ref="A28:B28"/>
    <mergeCell ref="A29:B29"/>
    <mergeCell ref="A30:B30"/>
    <mergeCell ref="B2:C2"/>
    <mergeCell ref="A27: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C6A8C-9926-4C90-944A-F9A0CBD87C59}">
  <sheetPr>
    <tabColor theme="9" tint="0.79998168889431442"/>
  </sheetPr>
  <dimension ref="A1:D58"/>
  <sheetViews>
    <sheetView topLeftCell="A38" zoomScale="85" zoomScaleNormal="85" workbookViewId="0">
      <selection activeCell="B65" sqref="B65"/>
    </sheetView>
  </sheetViews>
  <sheetFormatPr defaultRowHeight="15" x14ac:dyDescent="0.25"/>
  <cols>
    <col min="1" max="1" width="21.140625" bestFit="1" customWidth="1"/>
    <col min="2" max="2" width="155.42578125" customWidth="1"/>
    <col min="3" max="3" width="26.42578125" customWidth="1"/>
  </cols>
  <sheetData>
    <row r="1" spans="1:4" ht="15.75" x14ac:dyDescent="0.25">
      <c r="A1" s="28" t="s">
        <v>66</v>
      </c>
      <c r="B1" s="29" t="s">
        <v>67</v>
      </c>
      <c r="C1" s="30"/>
    </row>
    <row r="2" spans="1:4" ht="31.5" x14ac:dyDescent="0.25">
      <c r="A2" s="31" t="s">
        <v>68</v>
      </c>
      <c r="B2" s="252" t="s">
        <v>509</v>
      </c>
      <c r="C2" s="252"/>
    </row>
    <row r="3" spans="1:4" ht="31.5" x14ac:dyDescent="0.25">
      <c r="A3" s="31"/>
      <c r="B3" s="32" t="s">
        <v>530</v>
      </c>
      <c r="C3" s="32"/>
    </row>
    <row r="4" spans="1:4" ht="15.75" x14ac:dyDescent="0.25">
      <c r="A4" s="29"/>
      <c r="B4" s="32" t="s">
        <v>536</v>
      </c>
      <c r="C4" s="32"/>
    </row>
    <row r="5" spans="1:4" ht="15.75" x14ac:dyDescent="0.25">
      <c r="A5" s="31" t="s">
        <v>71</v>
      </c>
      <c r="B5" s="32" t="s">
        <v>203</v>
      </c>
      <c r="C5" s="32"/>
    </row>
    <row r="8" spans="1:4" ht="63" x14ac:dyDescent="0.25">
      <c r="A8" s="112" t="s">
        <v>0</v>
      </c>
      <c r="B8" s="112" t="s">
        <v>1</v>
      </c>
      <c r="C8" s="112" t="s">
        <v>2</v>
      </c>
    </row>
    <row r="9" spans="1:4" ht="15.75" x14ac:dyDescent="0.25">
      <c r="A9" s="112">
        <v>1</v>
      </c>
      <c r="B9" s="112">
        <v>2</v>
      </c>
      <c r="C9" s="112">
        <v>3</v>
      </c>
    </row>
    <row r="10" spans="1:4" ht="15.75" x14ac:dyDescent="0.25">
      <c r="A10" s="113"/>
      <c r="B10" s="112" t="s">
        <v>3</v>
      </c>
      <c r="C10" s="112" t="s">
        <v>4</v>
      </c>
    </row>
    <row r="11" spans="1:4" ht="15.75" x14ac:dyDescent="0.25">
      <c r="A11" s="123"/>
      <c r="B11" s="123" t="s">
        <v>512</v>
      </c>
      <c r="C11" s="123"/>
    </row>
    <row r="12" spans="1:4" ht="94.5" x14ac:dyDescent="0.25">
      <c r="A12" s="93">
        <v>1100</v>
      </c>
      <c r="B12" s="94" t="s">
        <v>513</v>
      </c>
      <c r="C12" s="115">
        <f>ROUND((10*0.083),2)</f>
        <v>0.83</v>
      </c>
    </row>
    <row r="13" spans="1:4" ht="78.75" x14ac:dyDescent="0.25">
      <c r="A13" s="93">
        <v>1100</v>
      </c>
      <c r="B13" s="94" t="s">
        <v>514</v>
      </c>
      <c r="C13" s="119">
        <f>10*1</f>
        <v>10</v>
      </c>
      <c r="D13" s="171"/>
    </row>
    <row r="14" spans="1:4" ht="78.75" x14ac:dyDescent="0.25">
      <c r="A14" s="93">
        <v>1100</v>
      </c>
      <c r="B14" s="94" t="s">
        <v>515</v>
      </c>
      <c r="C14" s="115">
        <f>ROUND((10*0.667),2)</f>
        <v>6.67</v>
      </c>
    </row>
    <row r="15" spans="1:4" ht="15.75" x14ac:dyDescent="0.25">
      <c r="A15" s="93">
        <v>2322</v>
      </c>
      <c r="B15" s="94" t="s">
        <v>516</v>
      </c>
      <c r="C15" s="115">
        <v>7.79</v>
      </c>
    </row>
    <row r="16" spans="1:4" ht="15.75" x14ac:dyDescent="0.25">
      <c r="A16" s="93">
        <v>2310</v>
      </c>
      <c r="B16" s="94" t="s">
        <v>517</v>
      </c>
      <c r="C16" s="115">
        <v>1.37</v>
      </c>
    </row>
    <row r="17" spans="1:4" ht="15.75" x14ac:dyDescent="0.25">
      <c r="A17" s="93"/>
      <c r="B17" s="118" t="s">
        <v>518</v>
      </c>
      <c r="C17" s="115">
        <f>SUM(C12:C16)</f>
        <v>26.66</v>
      </c>
      <c r="D17" s="115"/>
    </row>
    <row r="18" spans="1:4" ht="15.75" x14ac:dyDescent="0.25">
      <c r="A18" s="93"/>
      <c r="B18" s="94" t="s">
        <v>519</v>
      </c>
      <c r="C18" s="115"/>
    </row>
    <row r="19" spans="1:4" ht="94.5" x14ac:dyDescent="0.25">
      <c r="A19" s="93">
        <v>1100</v>
      </c>
      <c r="B19" s="114" t="s">
        <v>189</v>
      </c>
      <c r="C19" s="115">
        <f>ROUND((9.63*0.25),2)</f>
        <v>2.41</v>
      </c>
    </row>
    <row r="20" spans="1:4" ht="15.75" x14ac:dyDescent="0.25">
      <c r="A20" s="93">
        <v>2341</v>
      </c>
      <c r="B20" s="114" t="s">
        <v>190</v>
      </c>
      <c r="C20" s="112">
        <v>3.3</v>
      </c>
    </row>
    <row r="21" spans="1:4" ht="15.75" x14ac:dyDescent="0.25">
      <c r="A21" s="116">
        <v>2239</v>
      </c>
      <c r="B21" s="117" t="s">
        <v>191</v>
      </c>
      <c r="C21" s="112">
        <v>0.23</v>
      </c>
    </row>
    <row r="22" spans="1:4" ht="15.75" x14ac:dyDescent="0.25">
      <c r="A22" s="113"/>
      <c r="B22" s="118" t="s">
        <v>39</v>
      </c>
      <c r="C22" s="119">
        <f>SUM(C19:C21)</f>
        <v>5.94</v>
      </c>
    </row>
    <row r="23" spans="1:4" ht="15.75" x14ac:dyDescent="0.25">
      <c r="A23" s="113"/>
      <c r="B23" s="94" t="s">
        <v>520</v>
      </c>
      <c r="C23" s="120"/>
    </row>
    <row r="24" spans="1:4" ht="15.75" x14ac:dyDescent="0.25">
      <c r="A24" s="113"/>
      <c r="B24" s="121" t="s">
        <v>192</v>
      </c>
      <c r="C24" s="120"/>
    </row>
    <row r="25" spans="1:4" ht="94.5" x14ac:dyDescent="0.25">
      <c r="A25" s="93">
        <v>1100</v>
      </c>
      <c r="B25" s="94" t="s">
        <v>532</v>
      </c>
      <c r="C25" s="119">
        <f>ROUND((9.63*0.5),2)</f>
        <v>4.82</v>
      </c>
    </row>
    <row r="26" spans="1:4" ht="15.75" x14ac:dyDescent="0.25">
      <c r="A26" s="93">
        <v>2341</v>
      </c>
      <c r="B26" s="94" t="s">
        <v>194</v>
      </c>
      <c r="C26" s="120">
        <v>0.38</v>
      </c>
    </row>
    <row r="27" spans="1:4" ht="15.75" x14ac:dyDescent="0.25">
      <c r="A27" s="93"/>
      <c r="B27" s="147" t="s">
        <v>204</v>
      </c>
      <c r="C27" s="120"/>
    </row>
    <row r="28" spans="1:4" ht="94.5" x14ac:dyDescent="0.25">
      <c r="A28" s="93">
        <v>1100</v>
      </c>
      <c r="B28" s="94" t="s">
        <v>223</v>
      </c>
      <c r="C28" s="120">
        <f>ROUND((9.63*4),2)</f>
        <v>38.520000000000003</v>
      </c>
    </row>
    <row r="29" spans="1:4" ht="15.75" x14ac:dyDescent="0.25">
      <c r="A29" s="93">
        <v>2341</v>
      </c>
      <c r="B29" s="94" t="s">
        <v>194</v>
      </c>
      <c r="C29" s="120">
        <v>0.19</v>
      </c>
    </row>
    <row r="30" spans="1:4" ht="15.75" x14ac:dyDescent="0.25">
      <c r="A30" s="93"/>
      <c r="B30" s="122" t="s">
        <v>195</v>
      </c>
      <c r="C30" s="120"/>
    </row>
    <row r="31" spans="1:4" ht="94.5" x14ac:dyDescent="0.25">
      <c r="A31" s="93">
        <v>1100</v>
      </c>
      <c r="B31" s="94" t="s">
        <v>533</v>
      </c>
      <c r="C31" s="119">
        <f>ROUND((9.63*0.75),2)</f>
        <v>7.22</v>
      </c>
    </row>
    <row r="32" spans="1:4" ht="15.75" x14ac:dyDescent="0.25">
      <c r="A32" s="93">
        <v>2341</v>
      </c>
      <c r="B32" s="94" t="s">
        <v>194</v>
      </c>
      <c r="C32" s="120">
        <v>2.9</v>
      </c>
    </row>
    <row r="33" spans="1:3" ht="15.75" x14ac:dyDescent="0.25">
      <c r="A33" s="93"/>
      <c r="B33" s="122" t="s">
        <v>197</v>
      </c>
      <c r="C33" s="120"/>
    </row>
    <row r="34" spans="1:3" ht="94.5" x14ac:dyDescent="0.25">
      <c r="A34" s="93">
        <v>1100</v>
      </c>
      <c r="B34" s="94" t="s">
        <v>534</v>
      </c>
      <c r="C34" s="120">
        <f>ROUND((9.63*0.133),2)</f>
        <v>1.28</v>
      </c>
    </row>
    <row r="35" spans="1:3" ht="15.75" x14ac:dyDescent="0.25">
      <c r="A35" s="93"/>
      <c r="B35" s="121" t="s">
        <v>78</v>
      </c>
      <c r="C35" s="120"/>
    </row>
    <row r="36" spans="1:3" ht="94.5" x14ac:dyDescent="0.25">
      <c r="A36" s="93">
        <v>1100</v>
      </c>
      <c r="B36" s="94" t="s">
        <v>535</v>
      </c>
      <c r="C36" s="119">
        <f>ROUND((9.63*0.333),2)</f>
        <v>3.21</v>
      </c>
    </row>
    <row r="37" spans="1:3" ht="15.75" x14ac:dyDescent="0.25">
      <c r="A37" s="93"/>
      <c r="B37" s="118" t="s">
        <v>199</v>
      </c>
      <c r="C37" s="119">
        <f>SUM(C25:C36)</f>
        <v>58.52</v>
      </c>
    </row>
    <row r="38" spans="1:3" ht="15.75" x14ac:dyDescent="0.25">
      <c r="A38" s="123"/>
      <c r="B38" s="123" t="s">
        <v>523</v>
      </c>
      <c r="C38" s="120"/>
    </row>
    <row r="39" spans="1:3" ht="94.5" x14ac:dyDescent="0.25">
      <c r="A39" s="93">
        <v>1100</v>
      </c>
      <c r="B39" s="94" t="s">
        <v>200</v>
      </c>
      <c r="C39" s="119">
        <f>ROUND((12.97*0.083),2)</f>
        <v>1.08</v>
      </c>
    </row>
    <row r="40" spans="1:3" ht="15.75" x14ac:dyDescent="0.25">
      <c r="A40" s="113"/>
      <c r="B40" s="118" t="s">
        <v>55</v>
      </c>
      <c r="C40" s="119">
        <f>C39</f>
        <v>1.08</v>
      </c>
    </row>
    <row r="41" spans="1:3" ht="15.75" x14ac:dyDescent="0.25">
      <c r="A41" s="113"/>
      <c r="B41" s="118" t="s">
        <v>8</v>
      </c>
      <c r="C41" s="119">
        <f>SUM(C17,C22,C37,C40)</f>
        <v>92.2</v>
      </c>
    </row>
    <row r="42" spans="1:3" ht="15.75" x14ac:dyDescent="0.25">
      <c r="A42" s="113"/>
      <c r="B42" s="112" t="s">
        <v>9</v>
      </c>
      <c r="C42" s="112" t="s">
        <v>4</v>
      </c>
    </row>
    <row r="43" spans="1:3" ht="15.75" x14ac:dyDescent="0.25">
      <c r="A43" s="112">
        <v>1100</v>
      </c>
      <c r="B43" s="124" t="s">
        <v>10</v>
      </c>
      <c r="C43" s="115">
        <v>0.88</v>
      </c>
    </row>
    <row r="44" spans="1:3" ht="15.75" x14ac:dyDescent="0.25">
      <c r="A44" s="125">
        <v>2210</v>
      </c>
      <c r="B44" s="126" t="s">
        <v>11</v>
      </c>
      <c r="C44" s="120">
        <v>0.28999999999999998</v>
      </c>
    </row>
    <row r="45" spans="1:3" ht="15.75" x14ac:dyDescent="0.25">
      <c r="A45" s="125">
        <v>2220</v>
      </c>
      <c r="B45" s="126" t="s">
        <v>12</v>
      </c>
      <c r="C45" s="112">
        <v>1.1399999999999999</v>
      </c>
    </row>
    <row r="46" spans="1:3" ht="15.75" x14ac:dyDescent="0.25">
      <c r="A46" s="125">
        <v>2240</v>
      </c>
      <c r="B46" s="126" t="s">
        <v>56</v>
      </c>
      <c r="C46" s="112">
        <v>3.02</v>
      </c>
    </row>
    <row r="47" spans="1:3" ht="15.75" x14ac:dyDescent="0.25">
      <c r="A47" s="125">
        <v>2310</v>
      </c>
      <c r="B47" s="126" t="s">
        <v>15</v>
      </c>
      <c r="C47" s="115">
        <v>0.56000000000000005</v>
      </c>
    </row>
    <row r="48" spans="1:3" ht="15.75" x14ac:dyDescent="0.25">
      <c r="A48" s="120">
        <v>5200</v>
      </c>
      <c r="B48" s="127" t="s">
        <v>201</v>
      </c>
      <c r="C48" s="115">
        <v>0.56000000000000005</v>
      </c>
    </row>
    <row r="49" spans="1:4" ht="15.75" x14ac:dyDescent="0.25">
      <c r="A49" s="113"/>
      <c r="B49" s="118" t="s">
        <v>17</v>
      </c>
      <c r="C49" s="115">
        <f>SUM(C43:C48)</f>
        <v>6.4500000000000011</v>
      </c>
    </row>
    <row r="50" spans="1:4" ht="15.75" x14ac:dyDescent="0.25">
      <c r="A50" s="112"/>
      <c r="B50" s="128" t="s">
        <v>18</v>
      </c>
      <c r="C50" s="115">
        <f>SUM(C41,C49)</f>
        <v>98.65</v>
      </c>
      <c r="D50" s="171"/>
    </row>
    <row r="51" spans="1:4" ht="15.75" x14ac:dyDescent="0.25">
      <c r="A51" s="258" t="s">
        <v>19</v>
      </c>
      <c r="B51" s="258"/>
      <c r="C51" s="120">
        <v>1</v>
      </c>
    </row>
    <row r="52" spans="1:4" ht="15.75" x14ac:dyDescent="0.25">
      <c r="A52" s="258" t="s">
        <v>20</v>
      </c>
      <c r="B52" s="258"/>
      <c r="C52" s="119">
        <f>C50</f>
        <v>98.65</v>
      </c>
    </row>
    <row r="53" spans="1:4" ht="15.75" x14ac:dyDescent="0.25">
      <c r="A53" s="258" t="s">
        <v>21</v>
      </c>
      <c r="B53" s="258"/>
      <c r="C53" s="120">
        <v>107</v>
      </c>
    </row>
    <row r="54" spans="1:4" ht="15.75" x14ac:dyDescent="0.25">
      <c r="A54" s="258" t="s">
        <v>22</v>
      </c>
      <c r="B54" s="258"/>
      <c r="C54" s="119">
        <f>C53*C52</f>
        <v>10555.550000000001</v>
      </c>
    </row>
    <row r="55" spans="1:4" ht="15.75" x14ac:dyDescent="0.25">
      <c r="C55" s="246">
        <v>51.74</v>
      </c>
    </row>
    <row r="56" spans="1:4" ht="15.75" x14ac:dyDescent="0.25">
      <c r="C56" s="245">
        <v>107</v>
      </c>
    </row>
    <row r="57" spans="1:4" ht="15.75" x14ac:dyDescent="0.25">
      <c r="C57" s="245">
        <f>C55*C56</f>
        <v>5536.18</v>
      </c>
    </row>
    <row r="58" spans="1:4" ht="47.25" x14ac:dyDescent="0.25">
      <c r="B58" s="248" t="s">
        <v>705</v>
      </c>
    </row>
  </sheetData>
  <mergeCells count="5">
    <mergeCell ref="B2:C2"/>
    <mergeCell ref="A51:B51"/>
    <mergeCell ref="A52:B52"/>
    <mergeCell ref="A53:B53"/>
    <mergeCell ref="A54:B5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F078-E862-4D6D-B2E2-AEE69B23BC6F}">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586</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616</v>
      </c>
      <c r="C12" s="36">
        <f>ROUND((12.97*4.5275),2)</f>
        <v>58.72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75.640000000000015</v>
      </c>
    </row>
    <row r="18" spans="1:3" ht="16.5" thickBot="1" x14ac:dyDescent="0.3">
      <c r="A18" s="130"/>
      <c r="B18" s="39" t="s">
        <v>8</v>
      </c>
      <c r="C18" s="103">
        <f>C17</f>
        <v>75.640000000000015</v>
      </c>
    </row>
    <row r="19" spans="1:3" ht="16.5" thickBot="1" x14ac:dyDescent="0.3">
      <c r="A19" s="34"/>
      <c r="B19" s="33" t="s">
        <v>9</v>
      </c>
      <c r="C19" s="36" t="s">
        <v>4</v>
      </c>
    </row>
    <row r="20" spans="1:3" ht="16.5" thickBot="1" x14ac:dyDescent="0.3">
      <c r="A20" s="1">
        <v>1100</v>
      </c>
      <c r="B20" s="180" t="s">
        <v>10</v>
      </c>
      <c r="C20" s="36">
        <v>2.4500000000000002</v>
      </c>
    </row>
    <row r="21" spans="1:3" ht="16.5" thickBot="1" x14ac:dyDescent="0.3">
      <c r="A21" s="181">
        <v>2210</v>
      </c>
      <c r="B21" s="182" t="s">
        <v>11</v>
      </c>
      <c r="C21" s="92">
        <v>0.82</v>
      </c>
    </row>
    <row r="22" spans="1:3" ht="16.5" thickBot="1" x14ac:dyDescent="0.3">
      <c r="A22" s="183">
        <v>2242</v>
      </c>
      <c r="B22" s="184" t="s">
        <v>31</v>
      </c>
      <c r="C22" s="103">
        <v>1.2</v>
      </c>
    </row>
    <row r="23" spans="1:3" ht="16.5" thickBot="1" x14ac:dyDescent="0.3">
      <c r="A23" s="185">
        <v>2310</v>
      </c>
      <c r="B23" s="186" t="s">
        <v>15</v>
      </c>
      <c r="C23" s="103">
        <v>1.54</v>
      </c>
    </row>
    <row r="24" spans="1:3" ht="16.5" thickBot="1" x14ac:dyDescent="0.3">
      <c r="A24" s="46">
        <v>5200</v>
      </c>
      <c r="B24" s="187" t="s">
        <v>201</v>
      </c>
      <c r="C24" s="103">
        <v>1.55</v>
      </c>
    </row>
    <row r="25" spans="1:3" ht="16.5" thickBot="1" x14ac:dyDescent="0.3">
      <c r="A25" s="58"/>
      <c r="B25" s="139" t="s">
        <v>17</v>
      </c>
      <c r="C25" s="36">
        <f>SUM(C20:C24)</f>
        <v>7.56</v>
      </c>
    </row>
    <row r="26" spans="1:3" ht="16.5" thickBot="1" x14ac:dyDescent="0.3">
      <c r="A26" s="33"/>
      <c r="B26" s="45" t="s">
        <v>18</v>
      </c>
      <c r="C26" s="36">
        <f>C18+C25</f>
        <v>83.200000000000017</v>
      </c>
    </row>
    <row r="27" spans="1:3" ht="16.5" thickBot="1" x14ac:dyDescent="0.3">
      <c r="A27" s="264" t="s">
        <v>19</v>
      </c>
      <c r="B27" s="265"/>
      <c r="C27" s="48">
        <v>1</v>
      </c>
    </row>
    <row r="28" spans="1:3" ht="16.5" thickBot="1" x14ac:dyDescent="0.3">
      <c r="A28" s="252" t="s">
        <v>20</v>
      </c>
      <c r="B28" s="253"/>
      <c r="C28" s="23">
        <f>C26</f>
        <v>83.200000000000017</v>
      </c>
    </row>
    <row r="29" spans="1:3" ht="16.5" thickBot="1" x14ac:dyDescent="0.3">
      <c r="A29" s="252" t="s">
        <v>21</v>
      </c>
      <c r="B29" s="253"/>
      <c r="C29" s="46">
        <v>17</v>
      </c>
    </row>
    <row r="30" spans="1:3" ht="16.5" thickBot="1" x14ac:dyDescent="0.3">
      <c r="A30" s="252" t="s">
        <v>22</v>
      </c>
      <c r="B30" s="253"/>
      <c r="C30" s="47">
        <f>C29*C28</f>
        <v>1414.4000000000003</v>
      </c>
    </row>
  </sheetData>
  <mergeCells count="5">
    <mergeCell ref="B2:C2"/>
    <mergeCell ref="A27:B27"/>
    <mergeCell ref="A28:B28"/>
    <mergeCell ref="A29:B29"/>
    <mergeCell ref="A30:B3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EC43B-6C70-497F-8CAA-162D9EA4D1F3}">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587</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617</v>
      </c>
      <c r="C12" s="36">
        <f>ROUND((12.97*5.452),2)</f>
        <v>70.709999999999994</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87.63000000000001</v>
      </c>
    </row>
    <row r="18" spans="1:3" ht="16.5" thickBot="1" x14ac:dyDescent="0.3">
      <c r="A18" s="130"/>
      <c r="B18" s="39" t="s">
        <v>8</v>
      </c>
      <c r="C18" s="103">
        <f>C17</f>
        <v>87.63000000000001</v>
      </c>
    </row>
    <row r="19" spans="1:3" ht="16.5" thickBot="1" x14ac:dyDescent="0.3">
      <c r="A19" s="34"/>
      <c r="B19" s="33" t="s">
        <v>9</v>
      </c>
      <c r="C19" s="36" t="s">
        <v>4</v>
      </c>
    </row>
    <row r="20" spans="1:3" ht="16.5" thickBot="1" x14ac:dyDescent="0.3">
      <c r="A20" s="1">
        <v>1100</v>
      </c>
      <c r="B20" s="180" t="s">
        <v>10</v>
      </c>
      <c r="C20" s="36">
        <v>2.84</v>
      </c>
    </row>
    <row r="21" spans="1:3" ht="16.5" thickBot="1" x14ac:dyDescent="0.3">
      <c r="A21" s="181">
        <v>2210</v>
      </c>
      <c r="B21" s="182" t="s">
        <v>11</v>
      </c>
      <c r="C21" s="92">
        <v>0.95</v>
      </c>
    </row>
    <row r="22" spans="1:3" ht="16.5" thickBot="1" x14ac:dyDescent="0.3">
      <c r="A22" s="183">
        <v>2242</v>
      </c>
      <c r="B22" s="184" t="s">
        <v>31</v>
      </c>
      <c r="C22" s="103">
        <v>1.39</v>
      </c>
    </row>
    <row r="23" spans="1:3" ht="16.5" thickBot="1" x14ac:dyDescent="0.3">
      <c r="A23" s="185">
        <v>2310</v>
      </c>
      <c r="B23" s="186" t="s">
        <v>15</v>
      </c>
      <c r="C23" s="103">
        <v>1.79</v>
      </c>
    </row>
    <row r="24" spans="1:3" ht="16.5" thickBot="1" x14ac:dyDescent="0.3">
      <c r="A24" s="46">
        <v>5200</v>
      </c>
      <c r="B24" s="187" t="s">
        <v>201</v>
      </c>
      <c r="C24" s="103">
        <v>1.8</v>
      </c>
    </row>
    <row r="25" spans="1:3" ht="16.5" thickBot="1" x14ac:dyDescent="0.3">
      <c r="A25" s="58"/>
      <c r="B25" s="139" t="s">
        <v>17</v>
      </c>
      <c r="C25" s="36">
        <f>SUM(C20:C24)</f>
        <v>8.77</v>
      </c>
    </row>
    <row r="26" spans="1:3" ht="16.5" thickBot="1" x14ac:dyDescent="0.3">
      <c r="A26" s="33"/>
      <c r="B26" s="45" t="s">
        <v>18</v>
      </c>
      <c r="C26" s="36">
        <f>C18+C25</f>
        <v>96.4</v>
      </c>
    </row>
    <row r="27" spans="1:3" ht="16.5" thickBot="1" x14ac:dyDescent="0.3">
      <c r="A27" s="264" t="s">
        <v>19</v>
      </c>
      <c r="B27" s="265"/>
      <c r="C27" s="48">
        <v>1</v>
      </c>
    </row>
    <row r="28" spans="1:3" ht="16.5" thickBot="1" x14ac:dyDescent="0.3">
      <c r="A28" s="252" t="s">
        <v>20</v>
      </c>
      <c r="B28" s="253"/>
      <c r="C28" s="23">
        <f>C26</f>
        <v>96.4</v>
      </c>
    </row>
    <row r="29" spans="1:3" ht="16.5" thickBot="1" x14ac:dyDescent="0.3">
      <c r="A29" s="252" t="s">
        <v>21</v>
      </c>
      <c r="B29" s="253"/>
      <c r="C29" s="46">
        <v>17</v>
      </c>
    </row>
    <row r="30" spans="1:3" ht="16.5" thickBot="1" x14ac:dyDescent="0.3">
      <c r="A30" s="252" t="s">
        <v>22</v>
      </c>
      <c r="B30" s="253"/>
      <c r="C30" s="47">
        <f>C29*C28</f>
        <v>1638.8000000000002</v>
      </c>
    </row>
  </sheetData>
  <mergeCells count="5">
    <mergeCell ref="B2:C2"/>
    <mergeCell ref="A27:B27"/>
    <mergeCell ref="A28:B28"/>
    <mergeCell ref="A29:B29"/>
    <mergeCell ref="A30:B3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A0DD-0430-4990-8C7E-831D6C8FAED1}">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588</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618</v>
      </c>
      <c r="C12" s="36">
        <f>ROUND((12.97*6.378),2)</f>
        <v>82.72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99.640000000000015</v>
      </c>
    </row>
    <row r="18" spans="1:3" ht="16.5" thickBot="1" x14ac:dyDescent="0.3">
      <c r="A18" s="130"/>
      <c r="B18" s="39" t="s">
        <v>8</v>
      </c>
      <c r="C18" s="103">
        <f>C17</f>
        <v>99.640000000000015</v>
      </c>
    </row>
    <row r="19" spans="1:3" ht="16.5" thickBot="1" x14ac:dyDescent="0.3">
      <c r="A19" s="34"/>
      <c r="B19" s="33" t="s">
        <v>9</v>
      </c>
      <c r="C19" s="36" t="s">
        <v>4</v>
      </c>
    </row>
    <row r="20" spans="1:3" ht="16.5" thickBot="1" x14ac:dyDescent="0.3">
      <c r="A20" s="1">
        <v>1100</v>
      </c>
      <c r="B20" s="180" t="s">
        <v>10</v>
      </c>
      <c r="C20" s="36">
        <v>3.22</v>
      </c>
    </row>
    <row r="21" spans="1:3" ht="16.5" thickBot="1" x14ac:dyDescent="0.3">
      <c r="A21" s="181">
        <v>2210</v>
      </c>
      <c r="B21" s="182" t="s">
        <v>11</v>
      </c>
      <c r="C21" s="92">
        <v>1.08</v>
      </c>
    </row>
    <row r="22" spans="1:3" ht="16.5" thickBot="1" x14ac:dyDescent="0.3">
      <c r="A22" s="183">
        <v>2242</v>
      </c>
      <c r="B22" s="184" t="s">
        <v>31</v>
      </c>
      <c r="C22" s="103">
        <v>1.58</v>
      </c>
    </row>
    <row r="23" spans="1:3" ht="16.5" thickBot="1" x14ac:dyDescent="0.3">
      <c r="A23" s="185">
        <v>2310</v>
      </c>
      <c r="B23" s="186" t="s">
        <v>15</v>
      </c>
      <c r="C23" s="103">
        <v>2.0299999999999998</v>
      </c>
    </row>
    <row r="24" spans="1:3" ht="16.5" thickBot="1" x14ac:dyDescent="0.3">
      <c r="A24" s="46">
        <v>5200</v>
      </c>
      <c r="B24" s="187" t="s">
        <v>201</v>
      </c>
      <c r="C24" s="103">
        <v>2.0499999999999998</v>
      </c>
    </row>
    <row r="25" spans="1:3" ht="16.5" thickBot="1" x14ac:dyDescent="0.3">
      <c r="A25" s="58"/>
      <c r="B25" s="139" t="s">
        <v>17</v>
      </c>
      <c r="C25" s="36">
        <f>SUM(C20:C24)</f>
        <v>9.9600000000000009</v>
      </c>
    </row>
    <row r="26" spans="1:3" ht="16.5" thickBot="1" x14ac:dyDescent="0.3">
      <c r="A26" s="33"/>
      <c r="B26" s="45" t="s">
        <v>18</v>
      </c>
      <c r="C26" s="36">
        <f>C18+C25</f>
        <v>109.60000000000002</v>
      </c>
    </row>
    <row r="27" spans="1:3" ht="16.5" thickBot="1" x14ac:dyDescent="0.3">
      <c r="A27" s="264" t="s">
        <v>19</v>
      </c>
      <c r="B27" s="265"/>
      <c r="C27" s="48">
        <v>1</v>
      </c>
    </row>
    <row r="28" spans="1:3" ht="16.5" thickBot="1" x14ac:dyDescent="0.3">
      <c r="A28" s="252" t="s">
        <v>20</v>
      </c>
      <c r="B28" s="253"/>
      <c r="C28" s="23">
        <f>C26</f>
        <v>109.60000000000002</v>
      </c>
    </row>
    <row r="29" spans="1:3" ht="16.5" thickBot="1" x14ac:dyDescent="0.3">
      <c r="A29" s="252" t="s">
        <v>21</v>
      </c>
      <c r="B29" s="253"/>
      <c r="C29" s="46">
        <v>17</v>
      </c>
    </row>
    <row r="30" spans="1:3" ht="16.5" thickBot="1" x14ac:dyDescent="0.3">
      <c r="A30" s="252" t="s">
        <v>22</v>
      </c>
      <c r="B30" s="253"/>
      <c r="C30" s="47">
        <f>C29*C28</f>
        <v>1863.2000000000003</v>
      </c>
    </row>
  </sheetData>
  <mergeCells count="5">
    <mergeCell ref="B2:C2"/>
    <mergeCell ref="A27:B27"/>
    <mergeCell ref="A28:B28"/>
    <mergeCell ref="A29:B29"/>
    <mergeCell ref="A30:B30"/>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C7F8-1C76-4A2E-960F-19002EC5B1CE}">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589</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619</v>
      </c>
      <c r="C12" s="36">
        <f>ROUND((12.97*7.303),2)</f>
        <v>94.72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111.64000000000001</v>
      </c>
    </row>
    <row r="18" spans="1:3" ht="16.5" thickBot="1" x14ac:dyDescent="0.3">
      <c r="A18" s="130"/>
      <c r="B18" s="39" t="s">
        <v>8</v>
      </c>
      <c r="C18" s="103">
        <f>C17</f>
        <v>111.64000000000001</v>
      </c>
    </row>
    <row r="19" spans="1:3" ht="16.5" thickBot="1" x14ac:dyDescent="0.3">
      <c r="A19" s="34"/>
      <c r="B19" s="33" t="s">
        <v>9</v>
      </c>
      <c r="C19" s="36" t="s">
        <v>4</v>
      </c>
    </row>
    <row r="20" spans="1:3" ht="16.5" thickBot="1" x14ac:dyDescent="0.3">
      <c r="A20" s="1">
        <v>1100</v>
      </c>
      <c r="B20" s="180" t="s">
        <v>10</v>
      </c>
      <c r="C20" s="36">
        <v>3.61</v>
      </c>
    </row>
    <row r="21" spans="1:3" ht="16.5" thickBot="1" x14ac:dyDescent="0.3">
      <c r="A21" s="181">
        <v>2210</v>
      </c>
      <c r="B21" s="182" t="s">
        <v>11</v>
      </c>
      <c r="C21" s="92">
        <v>1.21</v>
      </c>
    </row>
    <row r="22" spans="1:3" ht="16.5" thickBot="1" x14ac:dyDescent="0.3">
      <c r="A22" s="183">
        <v>2242</v>
      </c>
      <c r="B22" s="184" t="s">
        <v>31</v>
      </c>
      <c r="C22" s="103">
        <v>1.77</v>
      </c>
    </row>
    <row r="23" spans="1:3" ht="16.5" thickBot="1" x14ac:dyDescent="0.3">
      <c r="A23" s="185">
        <v>2310</v>
      </c>
      <c r="B23" s="186" t="s">
        <v>15</v>
      </c>
      <c r="C23" s="103">
        <v>2.2799999999999998</v>
      </c>
    </row>
    <row r="24" spans="1:3" ht="16.5" thickBot="1" x14ac:dyDescent="0.3">
      <c r="A24" s="46">
        <v>5200</v>
      </c>
      <c r="B24" s="187" t="s">
        <v>201</v>
      </c>
      <c r="C24" s="103">
        <v>2.29</v>
      </c>
    </row>
    <row r="25" spans="1:3" ht="16.5" thickBot="1" x14ac:dyDescent="0.3">
      <c r="A25" s="58"/>
      <c r="B25" s="139" t="s">
        <v>17</v>
      </c>
      <c r="C25" s="36">
        <f>SUM(C20:C24)</f>
        <v>11.16</v>
      </c>
    </row>
    <row r="26" spans="1:3" ht="16.5" thickBot="1" x14ac:dyDescent="0.3">
      <c r="A26" s="33"/>
      <c r="B26" s="45" t="s">
        <v>18</v>
      </c>
      <c r="C26" s="36">
        <f>C18+C25</f>
        <v>122.80000000000001</v>
      </c>
    </row>
    <row r="27" spans="1:3" ht="16.5" thickBot="1" x14ac:dyDescent="0.3">
      <c r="A27" s="264" t="s">
        <v>19</v>
      </c>
      <c r="B27" s="265"/>
      <c r="C27" s="48">
        <v>1</v>
      </c>
    </row>
    <row r="28" spans="1:3" ht="16.5" thickBot="1" x14ac:dyDescent="0.3">
      <c r="A28" s="252" t="s">
        <v>20</v>
      </c>
      <c r="B28" s="253"/>
      <c r="C28" s="23">
        <f>C26</f>
        <v>122.80000000000001</v>
      </c>
    </row>
    <row r="29" spans="1:3" ht="16.5" thickBot="1" x14ac:dyDescent="0.3">
      <c r="A29" s="252" t="s">
        <v>21</v>
      </c>
      <c r="B29" s="253"/>
      <c r="C29" s="46">
        <v>17</v>
      </c>
    </row>
    <row r="30" spans="1:3" ht="16.5" thickBot="1" x14ac:dyDescent="0.3">
      <c r="A30" s="252" t="s">
        <v>22</v>
      </c>
      <c r="B30" s="253"/>
      <c r="C30" s="47">
        <f>C29*C28</f>
        <v>2087.6000000000004</v>
      </c>
    </row>
  </sheetData>
  <mergeCells count="5">
    <mergeCell ref="B2:C2"/>
    <mergeCell ref="A27:B27"/>
    <mergeCell ref="A28:B28"/>
    <mergeCell ref="A29:B29"/>
    <mergeCell ref="A30:B30"/>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B4FE-5AD1-4539-A7C9-00EC37245184}">
  <sheetPr>
    <tabColor theme="9" tint="0.79998168889431442"/>
  </sheetPr>
  <dimension ref="A1:C30"/>
  <sheetViews>
    <sheetView zoomScale="70" zoomScaleNormal="70" workbookViewId="0">
      <selection activeCell="A2" sqref="A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590</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620</v>
      </c>
      <c r="C12" s="36">
        <f>ROUND((12.97*8.228),2)</f>
        <v>106.72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123.64000000000001</v>
      </c>
    </row>
    <row r="18" spans="1:3" ht="16.5" thickBot="1" x14ac:dyDescent="0.3">
      <c r="A18" s="130"/>
      <c r="B18" s="39" t="s">
        <v>8</v>
      </c>
      <c r="C18" s="103">
        <f>C17</f>
        <v>123.64000000000001</v>
      </c>
    </row>
    <row r="19" spans="1:3" ht="16.5" thickBot="1" x14ac:dyDescent="0.3">
      <c r="A19" s="34"/>
      <c r="B19" s="33" t="s">
        <v>9</v>
      </c>
      <c r="C19" s="36" t="s">
        <v>4</v>
      </c>
    </row>
    <row r="20" spans="1:3" ht="16.5" thickBot="1" x14ac:dyDescent="0.3">
      <c r="A20" s="1">
        <v>1100</v>
      </c>
      <c r="B20" s="180" t="s">
        <v>10</v>
      </c>
      <c r="C20" s="36">
        <v>4</v>
      </c>
    </row>
    <row r="21" spans="1:3" ht="16.5" thickBot="1" x14ac:dyDescent="0.3">
      <c r="A21" s="181">
        <v>2210</v>
      </c>
      <c r="B21" s="182" t="s">
        <v>11</v>
      </c>
      <c r="C21" s="92">
        <v>1.34</v>
      </c>
    </row>
    <row r="22" spans="1:3" ht="16.5" thickBot="1" x14ac:dyDescent="0.3">
      <c r="A22" s="183">
        <v>2242</v>
      </c>
      <c r="B22" s="184" t="s">
        <v>31</v>
      </c>
      <c r="C22" s="103">
        <v>1.96</v>
      </c>
    </row>
    <row r="23" spans="1:3" ht="16.5" thickBot="1" x14ac:dyDescent="0.3">
      <c r="A23" s="185">
        <v>2310</v>
      </c>
      <c r="B23" s="186" t="s">
        <v>15</v>
      </c>
      <c r="C23" s="103">
        <v>2.52</v>
      </c>
    </row>
    <row r="24" spans="1:3" ht="16.5" thickBot="1" x14ac:dyDescent="0.3">
      <c r="A24" s="46">
        <v>5200</v>
      </c>
      <c r="B24" s="187" t="s">
        <v>201</v>
      </c>
      <c r="C24" s="103">
        <v>2.54</v>
      </c>
    </row>
    <row r="25" spans="1:3" ht="16.5" thickBot="1" x14ac:dyDescent="0.3">
      <c r="A25" s="58"/>
      <c r="B25" s="139" t="s">
        <v>17</v>
      </c>
      <c r="C25" s="36">
        <f>SUM(C20:C24)</f>
        <v>12.36</v>
      </c>
    </row>
    <row r="26" spans="1:3" ht="16.5" thickBot="1" x14ac:dyDescent="0.3">
      <c r="A26" s="33"/>
      <c r="B26" s="45" t="s">
        <v>18</v>
      </c>
      <c r="C26" s="36">
        <f>C18+C25</f>
        <v>136</v>
      </c>
    </row>
    <row r="27" spans="1:3" ht="16.5" thickBot="1" x14ac:dyDescent="0.3">
      <c r="A27" s="264" t="s">
        <v>19</v>
      </c>
      <c r="B27" s="265"/>
      <c r="C27" s="48">
        <v>1</v>
      </c>
    </row>
    <row r="28" spans="1:3" ht="16.5" thickBot="1" x14ac:dyDescent="0.3">
      <c r="A28" s="252" t="s">
        <v>20</v>
      </c>
      <c r="B28" s="253"/>
      <c r="C28" s="23">
        <f>C26</f>
        <v>136</v>
      </c>
    </row>
    <row r="29" spans="1:3" ht="16.5" thickBot="1" x14ac:dyDescent="0.3">
      <c r="A29" s="252" t="s">
        <v>21</v>
      </c>
      <c r="B29" s="253"/>
      <c r="C29" s="46">
        <v>17</v>
      </c>
    </row>
    <row r="30" spans="1:3" ht="16.5" thickBot="1" x14ac:dyDescent="0.3">
      <c r="A30" s="252" t="s">
        <v>22</v>
      </c>
      <c r="B30" s="253"/>
      <c r="C30" s="47">
        <f>C29*C28</f>
        <v>2312</v>
      </c>
    </row>
  </sheetData>
  <mergeCells count="5">
    <mergeCell ref="B2:C2"/>
    <mergeCell ref="A27:B27"/>
    <mergeCell ref="A28:B28"/>
    <mergeCell ref="A29:B29"/>
    <mergeCell ref="A30:B30"/>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5439-0144-482C-A491-A9FF6FEF246D}">
  <sheetPr>
    <tabColor theme="9" tint="0.79998168889431442"/>
  </sheetPr>
  <dimension ref="A1:C30"/>
  <sheetViews>
    <sheetView zoomScale="70" zoomScaleNormal="70" workbookViewId="0">
      <selection activeCell="C29" sqref="C29"/>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591</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621</v>
      </c>
      <c r="C12" s="36">
        <f>ROUND((12.97*9.1533),2)</f>
        <v>118.72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135.64000000000001</v>
      </c>
    </row>
    <row r="18" spans="1:3" ht="16.5" thickBot="1" x14ac:dyDescent="0.3">
      <c r="A18" s="130"/>
      <c r="B18" s="39" t="s">
        <v>8</v>
      </c>
      <c r="C18" s="103">
        <f>C17</f>
        <v>135.64000000000001</v>
      </c>
    </row>
    <row r="19" spans="1:3" ht="16.5" thickBot="1" x14ac:dyDescent="0.3">
      <c r="A19" s="34"/>
      <c r="B19" s="33" t="s">
        <v>9</v>
      </c>
      <c r="C19" s="36" t="s">
        <v>4</v>
      </c>
    </row>
    <row r="20" spans="1:3" ht="16.5" thickBot="1" x14ac:dyDescent="0.3">
      <c r="A20" s="1">
        <v>1100</v>
      </c>
      <c r="B20" s="180" t="s">
        <v>10</v>
      </c>
      <c r="C20" s="36">
        <v>4.3899999999999997</v>
      </c>
    </row>
    <row r="21" spans="1:3" ht="16.5" thickBot="1" x14ac:dyDescent="0.3">
      <c r="A21" s="181">
        <v>2210</v>
      </c>
      <c r="B21" s="182" t="s">
        <v>11</v>
      </c>
      <c r="C21" s="92">
        <v>1.46</v>
      </c>
    </row>
    <row r="22" spans="1:3" ht="16.5" thickBot="1" x14ac:dyDescent="0.3">
      <c r="A22" s="183">
        <v>2242</v>
      </c>
      <c r="B22" s="184" t="s">
        <v>31</v>
      </c>
      <c r="C22" s="103">
        <v>2.15</v>
      </c>
    </row>
    <row r="23" spans="1:3" ht="16.5" thickBot="1" x14ac:dyDescent="0.3">
      <c r="A23" s="185">
        <v>2310</v>
      </c>
      <c r="B23" s="186" t="s">
        <v>15</v>
      </c>
      <c r="C23" s="103">
        <v>2.77</v>
      </c>
    </row>
    <row r="24" spans="1:3" ht="16.5" thickBot="1" x14ac:dyDescent="0.3">
      <c r="A24" s="46">
        <v>5200</v>
      </c>
      <c r="B24" s="187" t="s">
        <v>201</v>
      </c>
      <c r="C24" s="103">
        <v>2.79</v>
      </c>
    </row>
    <row r="25" spans="1:3" ht="16.5" thickBot="1" x14ac:dyDescent="0.3">
      <c r="A25" s="58"/>
      <c r="B25" s="139" t="s">
        <v>17</v>
      </c>
      <c r="C25" s="36">
        <f>SUM(C20:C24)</f>
        <v>13.559999999999999</v>
      </c>
    </row>
    <row r="26" spans="1:3" ht="16.5" thickBot="1" x14ac:dyDescent="0.3">
      <c r="A26" s="33"/>
      <c r="B26" s="45" t="s">
        <v>18</v>
      </c>
      <c r="C26" s="36">
        <f>C18+C25</f>
        <v>149.20000000000002</v>
      </c>
    </row>
    <row r="27" spans="1:3" ht="16.5" thickBot="1" x14ac:dyDescent="0.3">
      <c r="A27" s="264" t="s">
        <v>19</v>
      </c>
      <c r="B27" s="265"/>
      <c r="C27" s="48">
        <v>1</v>
      </c>
    </row>
    <row r="28" spans="1:3" ht="16.5" thickBot="1" x14ac:dyDescent="0.3">
      <c r="A28" s="252" t="s">
        <v>20</v>
      </c>
      <c r="B28" s="253"/>
      <c r="C28" s="23">
        <f>C26</f>
        <v>149.20000000000002</v>
      </c>
    </row>
    <row r="29" spans="1:3" ht="16.5" thickBot="1" x14ac:dyDescent="0.3">
      <c r="A29" s="252" t="s">
        <v>21</v>
      </c>
      <c r="B29" s="253"/>
      <c r="C29" s="46">
        <v>17</v>
      </c>
    </row>
    <row r="30" spans="1:3" ht="16.5" thickBot="1" x14ac:dyDescent="0.3">
      <c r="A30" s="252" t="s">
        <v>22</v>
      </c>
      <c r="B30" s="253"/>
      <c r="C30" s="47">
        <f>C29*C28</f>
        <v>2536.4</v>
      </c>
    </row>
  </sheetData>
  <mergeCells count="5">
    <mergeCell ref="B2:C2"/>
    <mergeCell ref="A27:B27"/>
    <mergeCell ref="A28:B28"/>
    <mergeCell ref="A29:B29"/>
    <mergeCell ref="A30:B30"/>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865E-6352-4A61-9E77-2894A228E6C3}">
  <sheetPr>
    <tabColor theme="9" tint="0.79998168889431442"/>
  </sheetPr>
  <dimension ref="A1:C30"/>
  <sheetViews>
    <sheetView zoomScale="70" zoomScaleNormal="70" workbookViewId="0">
      <selection activeCell="C29" sqref="C29"/>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592</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622</v>
      </c>
      <c r="C12" s="36">
        <f>ROUND((12.97*10.079),2)</f>
        <v>130.72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147.64000000000001</v>
      </c>
    </row>
    <row r="18" spans="1:3" ht="16.5" thickBot="1" x14ac:dyDescent="0.3">
      <c r="A18" s="130"/>
      <c r="B18" s="39" t="s">
        <v>8</v>
      </c>
      <c r="C18" s="103">
        <f>C17</f>
        <v>147.64000000000001</v>
      </c>
    </row>
    <row r="19" spans="1:3" ht="16.5" thickBot="1" x14ac:dyDescent="0.3">
      <c r="A19" s="34"/>
      <c r="B19" s="33" t="s">
        <v>9</v>
      </c>
      <c r="C19" s="36" t="s">
        <v>4</v>
      </c>
    </row>
    <row r="20" spans="1:3" ht="16.5" thickBot="1" x14ac:dyDescent="0.3">
      <c r="A20" s="1">
        <v>1100</v>
      </c>
      <c r="B20" s="180" t="s">
        <v>10</v>
      </c>
      <c r="C20" s="36">
        <v>4.78</v>
      </c>
    </row>
    <row r="21" spans="1:3" ht="16.5" thickBot="1" x14ac:dyDescent="0.3">
      <c r="A21" s="181">
        <v>2210</v>
      </c>
      <c r="B21" s="182" t="s">
        <v>11</v>
      </c>
      <c r="C21" s="92">
        <v>1.59</v>
      </c>
    </row>
    <row r="22" spans="1:3" ht="16.5" thickBot="1" x14ac:dyDescent="0.3">
      <c r="A22" s="183">
        <v>2242</v>
      </c>
      <c r="B22" s="184" t="s">
        <v>31</v>
      </c>
      <c r="C22" s="103">
        <v>2.34</v>
      </c>
    </row>
    <row r="23" spans="1:3" ht="16.5" thickBot="1" x14ac:dyDescent="0.3">
      <c r="A23" s="185">
        <v>2310</v>
      </c>
      <c r="B23" s="186" t="s">
        <v>15</v>
      </c>
      <c r="C23" s="103">
        <v>3.02</v>
      </c>
    </row>
    <row r="24" spans="1:3" ht="16.5" thickBot="1" x14ac:dyDescent="0.3">
      <c r="A24" s="46">
        <v>5200</v>
      </c>
      <c r="B24" s="187" t="s">
        <v>201</v>
      </c>
      <c r="C24" s="103">
        <v>3.03</v>
      </c>
    </row>
    <row r="25" spans="1:3" ht="16.5" thickBot="1" x14ac:dyDescent="0.3">
      <c r="A25" s="58"/>
      <c r="B25" s="139" t="s">
        <v>17</v>
      </c>
      <c r="C25" s="36">
        <f>SUM(C20:C24)</f>
        <v>14.76</v>
      </c>
    </row>
    <row r="26" spans="1:3" ht="16.5" thickBot="1" x14ac:dyDescent="0.3">
      <c r="A26" s="33"/>
      <c r="B26" s="45" t="s">
        <v>18</v>
      </c>
      <c r="C26" s="36">
        <f>C18+C25</f>
        <v>162.4</v>
      </c>
    </row>
    <row r="27" spans="1:3" ht="16.5" thickBot="1" x14ac:dyDescent="0.3">
      <c r="A27" s="264" t="s">
        <v>19</v>
      </c>
      <c r="B27" s="265"/>
      <c r="C27" s="48">
        <v>1</v>
      </c>
    </row>
    <row r="28" spans="1:3" ht="16.5" thickBot="1" x14ac:dyDescent="0.3">
      <c r="A28" s="252" t="s">
        <v>20</v>
      </c>
      <c r="B28" s="253"/>
      <c r="C28" s="23">
        <f>C26</f>
        <v>162.4</v>
      </c>
    </row>
    <row r="29" spans="1:3" ht="16.5" thickBot="1" x14ac:dyDescent="0.3">
      <c r="A29" s="252" t="s">
        <v>21</v>
      </c>
      <c r="B29" s="253"/>
      <c r="C29" s="46">
        <v>17</v>
      </c>
    </row>
    <row r="30" spans="1:3" ht="16.5" thickBot="1" x14ac:dyDescent="0.3">
      <c r="A30" s="252" t="s">
        <v>22</v>
      </c>
      <c r="B30" s="253"/>
      <c r="C30" s="47">
        <f>C29*C28</f>
        <v>2760.8</v>
      </c>
    </row>
  </sheetData>
  <mergeCells count="5">
    <mergeCell ref="B2:C2"/>
    <mergeCell ref="A27:B27"/>
    <mergeCell ref="A28:B28"/>
    <mergeCell ref="A29:B29"/>
    <mergeCell ref="A30:B30"/>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E3593-077C-47EC-B520-F74A4B6E298D}">
  <sheetPr>
    <tabColor theme="9" tint="0.79998168889431442"/>
  </sheetPr>
  <dimension ref="A1:C30"/>
  <sheetViews>
    <sheetView zoomScale="70" zoomScaleNormal="70" workbookViewId="0">
      <selection activeCell="C12" sqref="C1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593</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623</v>
      </c>
      <c r="C12" s="36">
        <f>ROUND((12.97*11.004),2)</f>
        <v>142.72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159.64000000000001</v>
      </c>
    </row>
    <row r="18" spans="1:3" ht="16.5" thickBot="1" x14ac:dyDescent="0.3">
      <c r="A18" s="130"/>
      <c r="B18" s="39" t="s">
        <v>8</v>
      </c>
      <c r="C18" s="103">
        <f>C17</f>
        <v>159.64000000000001</v>
      </c>
    </row>
    <row r="19" spans="1:3" ht="16.5" thickBot="1" x14ac:dyDescent="0.3">
      <c r="A19" s="34"/>
      <c r="B19" s="33" t="s">
        <v>9</v>
      </c>
      <c r="C19" s="36" t="s">
        <v>4</v>
      </c>
    </row>
    <row r="20" spans="1:3" ht="16.5" thickBot="1" x14ac:dyDescent="0.3">
      <c r="A20" s="1">
        <v>1100</v>
      </c>
      <c r="B20" s="180" t="s">
        <v>10</v>
      </c>
      <c r="C20" s="36">
        <v>5.17</v>
      </c>
    </row>
    <row r="21" spans="1:3" ht="16.5" thickBot="1" x14ac:dyDescent="0.3">
      <c r="A21" s="181">
        <v>2210</v>
      </c>
      <c r="B21" s="182" t="s">
        <v>11</v>
      </c>
      <c r="C21" s="92">
        <v>1.72</v>
      </c>
    </row>
    <row r="22" spans="1:3" ht="16.5" thickBot="1" x14ac:dyDescent="0.3">
      <c r="A22" s="183">
        <v>2242</v>
      </c>
      <c r="B22" s="184" t="s">
        <v>31</v>
      </c>
      <c r="C22" s="103">
        <v>2.5299999999999998</v>
      </c>
    </row>
    <row r="23" spans="1:3" ht="16.5" thickBot="1" x14ac:dyDescent="0.3">
      <c r="A23" s="185">
        <v>2310</v>
      </c>
      <c r="B23" s="186" t="s">
        <v>15</v>
      </c>
      <c r="C23" s="103">
        <v>3.26</v>
      </c>
    </row>
    <row r="24" spans="1:3" ht="16.5" thickBot="1" x14ac:dyDescent="0.3">
      <c r="A24" s="46">
        <v>5200</v>
      </c>
      <c r="B24" s="187" t="s">
        <v>201</v>
      </c>
      <c r="C24" s="103">
        <v>3.28</v>
      </c>
    </row>
    <row r="25" spans="1:3" ht="16.5" thickBot="1" x14ac:dyDescent="0.3">
      <c r="A25" s="58"/>
      <c r="B25" s="139" t="s">
        <v>17</v>
      </c>
      <c r="C25" s="36">
        <f>SUM(C20:C24)</f>
        <v>15.959999999999999</v>
      </c>
    </row>
    <row r="26" spans="1:3" ht="16.5" thickBot="1" x14ac:dyDescent="0.3">
      <c r="A26" s="33"/>
      <c r="B26" s="45" t="s">
        <v>18</v>
      </c>
      <c r="C26" s="36">
        <f>C18+C25</f>
        <v>175.60000000000002</v>
      </c>
    </row>
    <row r="27" spans="1:3" ht="16.5" thickBot="1" x14ac:dyDescent="0.3">
      <c r="A27" s="264" t="s">
        <v>19</v>
      </c>
      <c r="B27" s="265"/>
      <c r="C27" s="48">
        <v>1</v>
      </c>
    </row>
    <row r="28" spans="1:3" ht="16.5" thickBot="1" x14ac:dyDescent="0.3">
      <c r="A28" s="252" t="s">
        <v>20</v>
      </c>
      <c r="B28" s="253"/>
      <c r="C28" s="23">
        <f>C26</f>
        <v>175.60000000000002</v>
      </c>
    </row>
    <row r="29" spans="1:3" ht="16.5" thickBot="1" x14ac:dyDescent="0.3">
      <c r="A29" s="252" t="s">
        <v>21</v>
      </c>
      <c r="B29" s="253"/>
      <c r="C29" s="46">
        <v>17</v>
      </c>
    </row>
    <row r="30" spans="1:3" ht="16.5" thickBot="1" x14ac:dyDescent="0.3">
      <c r="A30" s="252" t="s">
        <v>22</v>
      </c>
      <c r="B30" s="253"/>
      <c r="C30" s="47">
        <f>C29*C28</f>
        <v>2985.2000000000003</v>
      </c>
    </row>
  </sheetData>
  <mergeCells count="5">
    <mergeCell ref="B2:C2"/>
    <mergeCell ref="A27:B27"/>
    <mergeCell ref="A28:B28"/>
    <mergeCell ref="A29:B29"/>
    <mergeCell ref="A30:B30"/>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AB76-F862-4CBF-82DE-FA8341F442F6}">
  <sheetPr>
    <tabColor theme="9" tint="0.79998168889431442"/>
  </sheetPr>
  <dimension ref="A1:C30"/>
  <sheetViews>
    <sheetView zoomScale="70" zoomScaleNormal="70" workbookViewId="0">
      <selection activeCell="C12" sqref="C1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594</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624</v>
      </c>
      <c r="C12" s="36">
        <f>ROUND((12.97*11.929),2)</f>
        <v>154.72</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171.64000000000001</v>
      </c>
    </row>
    <row r="18" spans="1:3" ht="16.5" thickBot="1" x14ac:dyDescent="0.3">
      <c r="A18" s="130"/>
      <c r="B18" s="39" t="s">
        <v>8</v>
      </c>
      <c r="C18" s="103">
        <f>C17</f>
        <v>171.64000000000001</v>
      </c>
    </row>
    <row r="19" spans="1:3" ht="16.5" thickBot="1" x14ac:dyDescent="0.3">
      <c r="A19" s="34"/>
      <c r="B19" s="33" t="s">
        <v>9</v>
      </c>
      <c r="C19" s="36" t="s">
        <v>4</v>
      </c>
    </row>
    <row r="20" spans="1:3" ht="16.5" thickBot="1" x14ac:dyDescent="0.3">
      <c r="A20" s="1">
        <v>1100</v>
      </c>
      <c r="B20" s="180" t="s">
        <v>10</v>
      </c>
      <c r="C20" s="36">
        <v>5.55</v>
      </c>
    </row>
    <row r="21" spans="1:3" ht="16.5" thickBot="1" x14ac:dyDescent="0.3">
      <c r="A21" s="181">
        <v>2210</v>
      </c>
      <c r="B21" s="182" t="s">
        <v>11</v>
      </c>
      <c r="C21" s="92">
        <v>1.85</v>
      </c>
    </row>
    <row r="22" spans="1:3" ht="16.5" thickBot="1" x14ac:dyDescent="0.3">
      <c r="A22" s="183">
        <v>2242</v>
      </c>
      <c r="B22" s="184" t="s">
        <v>31</v>
      </c>
      <c r="C22" s="103">
        <v>2.72</v>
      </c>
    </row>
    <row r="23" spans="1:3" ht="16.5" thickBot="1" x14ac:dyDescent="0.3">
      <c r="A23" s="185">
        <v>2310</v>
      </c>
      <c r="B23" s="186" t="s">
        <v>15</v>
      </c>
      <c r="C23" s="103">
        <v>3.51</v>
      </c>
    </row>
    <row r="24" spans="1:3" ht="16.5" thickBot="1" x14ac:dyDescent="0.3">
      <c r="A24" s="46">
        <v>5200</v>
      </c>
      <c r="B24" s="187" t="s">
        <v>201</v>
      </c>
      <c r="C24" s="103">
        <v>3.53</v>
      </c>
    </row>
    <row r="25" spans="1:3" ht="16.5" thickBot="1" x14ac:dyDescent="0.3">
      <c r="A25" s="58"/>
      <c r="B25" s="139" t="s">
        <v>17</v>
      </c>
      <c r="C25" s="36">
        <f>SUM(C20:C24)</f>
        <v>17.16</v>
      </c>
    </row>
    <row r="26" spans="1:3" ht="16.5" thickBot="1" x14ac:dyDescent="0.3">
      <c r="A26" s="33"/>
      <c r="B26" s="45" t="s">
        <v>18</v>
      </c>
      <c r="C26" s="36">
        <f>C18+C25</f>
        <v>188.8</v>
      </c>
    </row>
    <row r="27" spans="1:3" ht="16.5" thickBot="1" x14ac:dyDescent="0.3">
      <c r="A27" s="264" t="s">
        <v>19</v>
      </c>
      <c r="B27" s="265"/>
      <c r="C27" s="48">
        <v>1</v>
      </c>
    </row>
    <row r="28" spans="1:3" ht="16.5" thickBot="1" x14ac:dyDescent="0.3">
      <c r="A28" s="252" t="s">
        <v>20</v>
      </c>
      <c r="B28" s="253"/>
      <c r="C28" s="23">
        <f>C26</f>
        <v>188.8</v>
      </c>
    </row>
    <row r="29" spans="1:3" ht="16.5" thickBot="1" x14ac:dyDescent="0.3">
      <c r="A29" s="252" t="s">
        <v>21</v>
      </c>
      <c r="B29" s="253"/>
      <c r="C29" s="46">
        <v>17</v>
      </c>
    </row>
    <row r="30" spans="1:3" ht="16.5" thickBot="1" x14ac:dyDescent="0.3">
      <c r="A30" s="252" t="s">
        <v>22</v>
      </c>
      <c r="B30" s="253"/>
      <c r="C30" s="47">
        <f>C29*C28</f>
        <v>3209.6000000000004</v>
      </c>
    </row>
  </sheetData>
  <mergeCells count="5">
    <mergeCell ref="B2:C2"/>
    <mergeCell ref="A27:B27"/>
    <mergeCell ref="A28:B28"/>
    <mergeCell ref="A29:B29"/>
    <mergeCell ref="A30:B30"/>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1493-FA0D-4FE7-90FF-49A3CDD1098F}">
  <sheetPr>
    <tabColor theme="9" tint="0.79998168889431442"/>
  </sheetPr>
  <dimension ref="A1:C30"/>
  <sheetViews>
    <sheetView zoomScale="70" zoomScaleNormal="70" workbookViewId="0">
      <selection activeCell="C12" sqref="C12"/>
    </sheetView>
  </sheetViews>
  <sheetFormatPr defaultRowHeight="15" x14ac:dyDescent="0.25"/>
  <cols>
    <col min="1" max="1" width="21.140625" bestFit="1" customWidth="1"/>
    <col min="2" max="2" width="132.5703125" customWidth="1"/>
    <col min="3" max="3" width="26.42578125" customWidth="1"/>
  </cols>
  <sheetData>
    <row r="1" spans="1:3" ht="15.75" x14ac:dyDescent="0.25">
      <c r="A1" s="148" t="s">
        <v>66</v>
      </c>
      <c r="B1" s="149" t="s">
        <v>67</v>
      </c>
      <c r="C1" s="150"/>
    </row>
    <row r="2" spans="1:3" ht="31.5" x14ac:dyDescent="0.25">
      <c r="A2" s="151" t="s">
        <v>68</v>
      </c>
      <c r="B2" s="254" t="s">
        <v>567</v>
      </c>
      <c r="C2" s="254"/>
    </row>
    <row r="3" spans="1:3" ht="15.75" x14ac:dyDescent="0.25">
      <c r="A3" s="149"/>
      <c r="B3" s="178" t="s">
        <v>580</v>
      </c>
      <c r="C3" s="152"/>
    </row>
    <row r="4" spans="1:3" ht="15.75" x14ac:dyDescent="0.25">
      <c r="A4" s="149"/>
      <c r="B4" s="170" t="s">
        <v>595</v>
      </c>
      <c r="C4" s="152"/>
    </row>
    <row r="5" spans="1:3" ht="15.75" x14ac:dyDescent="0.25">
      <c r="A5" s="151" t="s">
        <v>71</v>
      </c>
      <c r="B5" s="152" t="s">
        <v>203</v>
      </c>
      <c r="C5" s="152"/>
    </row>
    <row r="7" spans="1:3" ht="15.7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625</v>
      </c>
      <c r="C12" s="36">
        <f>ROUND((12.97*13.78),2)</f>
        <v>178.73</v>
      </c>
    </row>
    <row r="13" spans="1:3" ht="79.5" thickBot="1" x14ac:dyDescent="0.3">
      <c r="A13" s="3">
        <v>1100</v>
      </c>
      <c r="B13" s="179" t="s">
        <v>243</v>
      </c>
      <c r="C13" s="36">
        <f>ROUND((12.97*0.667),2)</f>
        <v>8.65</v>
      </c>
    </row>
    <row r="14" spans="1:3" ht="48" thickBot="1" x14ac:dyDescent="0.3">
      <c r="A14" s="33">
        <v>2322</v>
      </c>
      <c r="B14" s="37" t="s">
        <v>244</v>
      </c>
      <c r="C14" s="36">
        <f>ROUND((4.5*1.73),2)</f>
        <v>7.79</v>
      </c>
    </row>
    <row r="15" spans="1:3" ht="16.5" thickBot="1" x14ac:dyDescent="0.3">
      <c r="A15" s="33">
        <v>2310</v>
      </c>
      <c r="B15" s="37" t="s">
        <v>245</v>
      </c>
      <c r="C15" s="36">
        <v>0.33</v>
      </c>
    </row>
    <row r="16" spans="1:3" ht="16.5" thickBot="1" x14ac:dyDescent="0.3">
      <c r="A16" s="33">
        <v>2210</v>
      </c>
      <c r="B16" s="37" t="s">
        <v>246</v>
      </c>
      <c r="C16" s="36">
        <v>0.15</v>
      </c>
    </row>
    <row r="17" spans="1:3" ht="16.5" thickBot="1" x14ac:dyDescent="0.3">
      <c r="A17" s="33"/>
      <c r="B17" s="39" t="s">
        <v>247</v>
      </c>
      <c r="C17" s="36">
        <f>C12+C13+C14+C15+C16</f>
        <v>195.65</v>
      </c>
    </row>
    <row r="18" spans="1:3" ht="16.5" thickBot="1" x14ac:dyDescent="0.3">
      <c r="A18" s="130"/>
      <c r="B18" s="39" t="s">
        <v>8</v>
      </c>
      <c r="C18" s="103">
        <f>C17</f>
        <v>195.65</v>
      </c>
    </row>
    <row r="19" spans="1:3" ht="16.5" thickBot="1" x14ac:dyDescent="0.3">
      <c r="A19" s="34"/>
      <c r="B19" s="33" t="s">
        <v>9</v>
      </c>
      <c r="C19" s="36" t="s">
        <v>4</v>
      </c>
    </row>
    <row r="20" spans="1:3" ht="16.5" thickBot="1" x14ac:dyDescent="0.3">
      <c r="A20" s="1">
        <v>1100</v>
      </c>
      <c r="B20" s="180" t="s">
        <v>10</v>
      </c>
      <c r="C20" s="36">
        <v>6.32</v>
      </c>
    </row>
    <row r="21" spans="1:3" ht="16.5" thickBot="1" x14ac:dyDescent="0.3">
      <c r="A21" s="181">
        <v>2210</v>
      </c>
      <c r="B21" s="182" t="s">
        <v>11</v>
      </c>
      <c r="C21" s="92">
        <v>2.11</v>
      </c>
    </row>
    <row r="22" spans="1:3" ht="16.5" thickBot="1" x14ac:dyDescent="0.3">
      <c r="A22" s="183">
        <v>2242</v>
      </c>
      <c r="B22" s="184" t="s">
        <v>31</v>
      </c>
      <c r="C22" s="103">
        <v>3.1</v>
      </c>
    </row>
    <row r="23" spans="1:3" ht="16.5" thickBot="1" x14ac:dyDescent="0.3">
      <c r="A23" s="185">
        <v>2310</v>
      </c>
      <c r="B23" s="186" t="s">
        <v>15</v>
      </c>
      <c r="C23" s="103">
        <v>4</v>
      </c>
    </row>
    <row r="24" spans="1:3" ht="16.5" thickBot="1" x14ac:dyDescent="0.3">
      <c r="A24" s="46">
        <v>5200</v>
      </c>
      <c r="B24" s="187" t="s">
        <v>201</v>
      </c>
      <c r="C24" s="103">
        <v>4.0199999999999996</v>
      </c>
    </row>
    <row r="25" spans="1:3" ht="16.5" thickBot="1" x14ac:dyDescent="0.3">
      <c r="A25" s="58"/>
      <c r="B25" s="139" t="s">
        <v>17</v>
      </c>
      <c r="C25" s="36">
        <f>SUM(C20:C24)</f>
        <v>19.549999999999997</v>
      </c>
    </row>
    <row r="26" spans="1:3" ht="16.5" thickBot="1" x14ac:dyDescent="0.3">
      <c r="A26" s="33"/>
      <c r="B26" s="45" t="s">
        <v>18</v>
      </c>
      <c r="C26" s="36">
        <f>C18+C25</f>
        <v>215.2</v>
      </c>
    </row>
    <row r="27" spans="1:3" ht="16.5" thickBot="1" x14ac:dyDescent="0.3">
      <c r="A27" s="264" t="s">
        <v>19</v>
      </c>
      <c r="B27" s="265"/>
      <c r="C27" s="48">
        <v>1</v>
      </c>
    </row>
    <row r="28" spans="1:3" ht="16.5" thickBot="1" x14ac:dyDescent="0.3">
      <c r="A28" s="252" t="s">
        <v>20</v>
      </c>
      <c r="B28" s="253"/>
      <c r="C28" s="23">
        <f>C26</f>
        <v>215.2</v>
      </c>
    </row>
    <row r="29" spans="1:3" ht="16.5" thickBot="1" x14ac:dyDescent="0.3">
      <c r="A29" s="252" t="s">
        <v>21</v>
      </c>
      <c r="B29" s="253"/>
      <c r="C29" s="46">
        <v>17</v>
      </c>
    </row>
    <row r="30" spans="1:3" ht="16.5" thickBot="1" x14ac:dyDescent="0.3">
      <c r="A30" s="252" t="s">
        <v>22</v>
      </c>
      <c r="B30" s="253"/>
      <c r="C30" s="47">
        <f>C29*C28</f>
        <v>3658.3999999999996</v>
      </c>
    </row>
  </sheetData>
  <mergeCells count="5">
    <mergeCell ref="B2:C2"/>
    <mergeCell ref="A27:B27"/>
    <mergeCell ref="A28:B28"/>
    <mergeCell ref="A29:B29"/>
    <mergeCell ref="A30:B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12B5-0B2A-49CC-B772-493F4E4B3CAB}">
  <sheetPr>
    <tabColor theme="9" tint="0.79998168889431442"/>
  </sheetPr>
  <dimension ref="A1:D58"/>
  <sheetViews>
    <sheetView topLeftCell="A35" zoomScale="85" zoomScaleNormal="85" workbookViewId="0">
      <selection activeCell="B58" sqref="B58"/>
    </sheetView>
  </sheetViews>
  <sheetFormatPr defaultRowHeight="15" x14ac:dyDescent="0.25"/>
  <cols>
    <col min="1" max="1" width="21.140625" bestFit="1" customWidth="1"/>
    <col min="2" max="2" width="155.42578125" customWidth="1"/>
    <col min="3" max="3" width="26.42578125" customWidth="1"/>
  </cols>
  <sheetData>
    <row r="1" spans="1:4" ht="15.75" x14ac:dyDescent="0.25">
      <c r="A1" s="28" t="s">
        <v>66</v>
      </c>
      <c r="B1" s="29" t="s">
        <v>67</v>
      </c>
      <c r="C1" s="30"/>
    </row>
    <row r="2" spans="1:4" ht="31.5" x14ac:dyDescent="0.25">
      <c r="A2" s="31" t="s">
        <v>68</v>
      </c>
      <c r="B2" s="252" t="s">
        <v>509</v>
      </c>
      <c r="C2" s="252"/>
    </row>
    <row r="3" spans="1:4" ht="15.75" x14ac:dyDescent="0.25">
      <c r="A3" s="31"/>
      <c r="B3" s="32" t="s">
        <v>537</v>
      </c>
      <c r="C3" s="32"/>
    </row>
    <row r="4" spans="1:4" ht="15.75" x14ac:dyDescent="0.25">
      <c r="A4" s="29"/>
      <c r="B4" s="32" t="s">
        <v>538</v>
      </c>
      <c r="C4" s="32"/>
    </row>
    <row r="5" spans="1:4" ht="15.75" x14ac:dyDescent="0.25">
      <c r="A5" s="31" t="s">
        <v>71</v>
      </c>
      <c r="B5" s="32" t="s">
        <v>203</v>
      </c>
      <c r="C5" s="32"/>
    </row>
    <row r="8" spans="1:4" ht="63" x14ac:dyDescent="0.25">
      <c r="A8" s="112" t="s">
        <v>0</v>
      </c>
      <c r="B8" s="112" t="s">
        <v>1</v>
      </c>
      <c r="C8" s="112" t="s">
        <v>2</v>
      </c>
    </row>
    <row r="9" spans="1:4" ht="15.75" x14ac:dyDescent="0.25">
      <c r="A9" s="112">
        <v>1</v>
      </c>
      <c r="B9" s="112">
        <v>2</v>
      </c>
      <c r="C9" s="112">
        <v>3</v>
      </c>
    </row>
    <row r="10" spans="1:4" ht="15.75" x14ac:dyDescent="0.25">
      <c r="A10" s="113"/>
      <c r="B10" s="112" t="s">
        <v>3</v>
      </c>
      <c r="C10" s="112" t="s">
        <v>4</v>
      </c>
    </row>
    <row r="11" spans="1:4" ht="15.75" x14ac:dyDescent="0.25">
      <c r="A11" s="123"/>
      <c r="B11" s="123" t="s">
        <v>512</v>
      </c>
      <c r="C11" s="123"/>
    </row>
    <row r="12" spans="1:4" ht="94.5" x14ac:dyDescent="0.25">
      <c r="A12" s="93">
        <v>1100</v>
      </c>
      <c r="B12" s="94" t="s">
        <v>513</v>
      </c>
      <c r="C12" s="115">
        <f>ROUND((10*0.083),2)</f>
        <v>0.83</v>
      </c>
    </row>
    <row r="13" spans="1:4" ht="78.75" x14ac:dyDescent="0.25">
      <c r="A13" s="93">
        <v>1100</v>
      </c>
      <c r="B13" s="94" t="s">
        <v>514</v>
      </c>
      <c r="C13" s="119">
        <f>10*1</f>
        <v>10</v>
      </c>
      <c r="D13" s="171"/>
    </row>
    <row r="14" spans="1:4" ht="78.75" x14ac:dyDescent="0.25">
      <c r="A14" s="93">
        <v>1100</v>
      </c>
      <c r="B14" s="94" t="s">
        <v>515</v>
      </c>
      <c r="C14" s="115">
        <f>ROUND((10*0.667),2)</f>
        <v>6.67</v>
      </c>
    </row>
    <row r="15" spans="1:4" ht="15.75" x14ac:dyDescent="0.25">
      <c r="A15" s="93">
        <v>2322</v>
      </c>
      <c r="B15" s="94" t="s">
        <v>516</v>
      </c>
      <c r="C15" s="115">
        <v>7.79</v>
      </c>
    </row>
    <row r="16" spans="1:4" ht="15.75" x14ac:dyDescent="0.25">
      <c r="A16" s="93">
        <v>2310</v>
      </c>
      <c r="B16" s="94" t="s">
        <v>517</v>
      </c>
      <c r="C16" s="115">
        <v>1.37</v>
      </c>
    </row>
    <row r="17" spans="1:3" ht="15.75" x14ac:dyDescent="0.25">
      <c r="A17" s="93"/>
      <c r="B17" s="118" t="s">
        <v>518</v>
      </c>
      <c r="C17" s="115">
        <f>SUM(C12:C16)</f>
        <v>26.66</v>
      </c>
    </row>
    <row r="18" spans="1:3" ht="15.75" x14ac:dyDescent="0.25">
      <c r="A18" s="93"/>
      <c r="B18" s="94" t="s">
        <v>519</v>
      </c>
      <c r="C18" s="115"/>
    </row>
    <row r="19" spans="1:3" ht="94.5" x14ac:dyDescent="0.25">
      <c r="A19" s="93">
        <v>1100</v>
      </c>
      <c r="B19" s="114" t="s">
        <v>189</v>
      </c>
      <c r="C19" s="115">
        <f>ROUND((9.63*0.25),2)</f>
        <v>2.41</v>
      </c>
    </row>
    <row r="20" spans="1:3" ht="15.75" x14ac:dyDescent="0.25">
      <c r="A20" s="93">
        <v>2341</v>
      </c>
      <c r="B20" s="114" t="s">
        <v>190</v>
      </c>
      <c r="C20" s="112">
        <v>3.3</v>
      </c>
    </row>
    <row r="21" spans="1:3" ht="15.75" x14ac:dyDescent="0.25">
      <c r="A21" s="116">
        <v>2239</v>
      </c>
      <c r="B21" s="117" t="s">
        <v>191</v>
      </c>
      <c r="C21" s="112">
        <v>0.23</v>
      </c>
    </row>
    <row r="22" spans="1:3" ht="15.75" x14ac:dyDescent="0.25">
      <c r="A22" s="113"/>
      <c r="B22" s="118" t="s">
        <v>39</v>
      </c>
      <c r="C22" s="119">
        <f>SUM(C19:C21)</f>
        <v>5.94</v>
      </c>
    </row>
    <row r="23" spans="1:3" ht="15.75" x14ac:dyDescent="0.25">
      <c r="A23" s="113"/>
      <c r="B23" s="94" t="s">
        <v>520</v>
      </c>
      <c r="C23" s="120"/>
    </row>
    <row r="24" spans="1:3" ht="15.75" x14ac:dyDescent="0.25">
      <c r="A24" s="113"/>
      <c r="B24" s="121" t="s">
        <v>192</v>
      </c>
      <c r="C24" s="120"/>
    </row>
    <row r="25" spans="1:3" ht="94.5" x14ac:dyDescent="0.25">
      <c r="A25" s="93">
        <v>1100</v>
      </c>
      <c r="B25" s="94" t="s">
        <v>532</v>
      </c>
      <c r="C25" s="119">
        <f>ROUND((9.63*0.5),2)</f>
        <v>4.82</v>
      </c>
    </row>
    <row r="26" spans="1:3" ht="15.75" x14ac:dyDescent="0.25">
      <c r="A26" s="93">
        <v>2341</v>
      </c>
      <c r="B26" s="94" t="s">
        <v>221</v>
      </c>
      <c r="C26" s="120">
        <v>0.38</v>
      </c>
    </row>
    <row r="27" spans="1:3" ht="15.75" x14ac:dyDescent="0.25">
      <c r="A27" s="93"/>
      <c r="B27" s="147" t="s">
        <v>204</v>
      </c>
      <c r="C27" s="120"/>
    </row>
    <row r="28" spans="1:3" ht="94.5" x14ac:dyDescent="0.25">
      <c r="A28" s="93">
        <v>1100</v>
      </c>
      <c r="B28" s="94" t="s">
        <v>227</v>
      </c>
      <c r="C28" s="120">
        <f>ROUND((9.63*1.5),2)</f>
        <v>14.45</v>
      </c>
    </row>
    <row r="29" spans="1:3" ht="15.75" x14ac:dyDescent="0.25">
      <c r="A29" s="93">
        <v>2341</v>
      </c>
      <c r="B29" s="94" t="s">
        <v>194</v>
      </c>
      <c r="C29" s="120">
        <v>0.19</v>
      </c>
    </row>
    <row r="30" spans="1:3" ht="15.75" x14ac:dyDescent="0.25">
      <c r="A30" s="93"/>
      <c r="B30" s="122" t="s">
        <v>195</v>
      </c>
      <c r="C30" s="120"/>
    </row>
    <row r="31" spans="1:3" ht="94.5" x14ac:dyDescent="0.25">
      <c r="A31" s="93">
        <v>1100</v>
      </c>
      <c r="B31" s="94" t="s">
        <v>533</v>
      </c>
      <c r="C31" s="119">
        <f>ROUND((9.63*0.75),2)</f>
        <v>7.22</v>
      </c>
    </row>
    <row r="32" spans="1:3" ht="15.75" x14ac:dyDescent="0.25">
      <c r="A32" s="93">
        <v>2341</v>
      </c>
      <c r="B32" s="94" t="s">
        <v>194</v>
      </c>
      <c r="C32" s="120">
        <v>2.9</v>
      </c>
    </row>
    <row r="33" spans="1:3" ht="15.75" x14ac:dyDescent="0.25">
      <c r="A33" s="93"/>
      <c r="B33" s="122" t="s">
        <v>197</v>
      </c>
      <c r="C33" s="120"/>
    </row>
    <row r="34" spans="1:3" ht="94.5" x14ac:dyDescent="0.25">
      <c r="A34" s="93">
        <v>1100</v>
      </c>
      <c r="B34" s="94" t="s">
        <v>534</v>
      </c>
      <c r="C34" s="120">
        <f>ROUND((9.63*0.133),2)</f>
        <v>1.28</v>
      </c>
    </row>
    <row r="35" spans="1:3" ht="15.75" x14ac:dyDescent="0.25">
      <c r="A35" s="93"/>
      <c r="B35" s="121" t="s">
        <v>78</v>
      </c>
      <c r="C35" s="120"/>
    </row>
    <row r="36" spans="1:3" ht="94.5" x14ac:dyDescent="0.25">
      <c r="A36" s="93">
        <v>1100</v>
      </c>
      <c r="B36" s="94" t="s">
        <v>535</v>
      </c>
      <c r="C36" s="119">
        <f>ROUND((9.63*0.333),2)</f>
        <v>3.21</v>
      </c>
    </row>
    <row r="37" spans="1:3" ht="15.75" x14ac:dyDescent="0.25">
      <c r="A37" s="93"/>
      <c r="B37" s="118" t="s">
        <v>199</v>
      </c>
      <c r="C37" s="119">
        <f>SUM(C25:C36)</f>
        <v>34.449999999999996</v>
      </c>
    </row>
    <row r="38" spans="1:3" ht="15.75" x14ac:dyDescent="0.25">
      <c r="A38" s="123"/>
      <c r="B38" s="123" t="s">
        <v>523</v>
      </c>
      <c r="C38" s="120"/>
    </row>
    <row r="39" spans="1:3" ht="94.5" x14ac:dyDescent="0.25">
      <c r="A39" s="93">
        <v>1100</v>
      </c>
      <c r="B39" s="94" t="s">
        <v>200</v>
      </c>
      <c r="C39" s="119">
        <f>ROUND((12.97*0.083),2)</f>
        <v>1.08</v>
      </c>
    </row>
    <row r="40" spans="1:3" ht="15.75" x14ac:dyDescent="0.25">
      <c r="A40" s="113"/>
      <c r="B40" s="118" t="s">
        <v>55</v>
      </c>
      <c r="C40" s="119">
        <f>C39</f>
        <v>1.08</v>
      </c>
    </row>
    <row r="41" spans="1:3" ht="15.75" x14ac:dyDescent="0.25">
      <c r="A41" s="113"/>
      <c r="B41" s="118" t="s">
        <v>8</v>
      </c>
      <c r="C41" s="119">
        <f>SUM(C17,C22,C37,C40)</f>
        <v>68.13</v>
      </c>
    </row>
    <row r="42" spans="1:3" ht="15.75" x14ac:dyDescent="0.25">
      <c r="A42" s="113"/>
      <c r="B42" s="112" t="s">
        <v>9</v>
      </c>
      <c r="C42" s="112" t="s">
        <v>4</v>
      </c>
    </row>
    <row r="43" spans="1:3" ht="15.75" x14ac:dyDescent="0.25">
      <c r="A43" s="112">
        <v>1100</v>
      </c>
      <c r="B43" s="124" t="s">
        <v>10</v>
      </c>
      <c r="C43" s="115">
        <v>0.65</v>
      </c>
    </row>
    <row r="44" spans="1:3" ht="15.75" x14ac:dyDescent="0.25">
      <c r="A44" s="125">
        <v>2210</v>
      </c>
      <c r="B44" s="126" t="s">
        <v>11</v>
      </c>
      <c r="C44" s="120">
        <v>0.22</v>
      </c>
    </row>
    <row r="45" spans="1:3" ht="15.75" x14ac:dyDescent="0.25">
      <c r="A45" s="125">
        <v>2220</v>
      </c>
      <c r="B45" s="126" t="s">
        <v>12</v>
      </c>
      <c r="C45" s="112">
        <v>0.84</v>
      </c>
    </row>
    <row r="46" spans="1:3" ht="15.75" x14ac:dyDescent="0.25">
      <c r="A46" s="125">
        <v>2240</v>
      </c>
      <c r="B46" s="126" t="s">
        <v>56</v>
      </c>
      <c r="C46" s="112">
        <v>2.23</v>
      </c>
    </row>
    <row r="47" spans="1:3" ht="15.75" x14ac:dyDescent="0.25">
      <c r="A47" s="125">
        <v>2310</v>
      </c>
      <c r="B47" s="126" t="s">
        <v>15</v>
      </c>
      <c r="C47" s="115">
        <v>0.41</v>
      </c>
    </row>
    <row r="48" spans="1:3" ht="15.75" x14ac:dyDescent="0.25">
      <c r="A48" s="120">
        <v>5200</v>
      </c>
      <c r="B48" s="127" t="s">
        <v>201</v>
      </c>
      <c r="C48" s="115">
        <v>0.41</v>
      </c>
    </row>
    <row r="49" spans="1:4" ht="15.75" x14ac:dyDescent="0.25">
      <c r="A49" s="113"/>
      <c r="B49" s="118" t="s">
        <v>17</v>
      </c>
      <c r="C49" s="115">
        <f>SUM(C43:C48)</f>
        <v>4.76</v>
      </c>
    </row>
    <row r="50" spans="1:4" ht="15.75" x14ac:dyDescent="0.25">
      <c r="A50" s="112"/>
      <c r="B50" s="128" t="s">
        <v>18</v>
      </c>
      <c r="C50" s="115">
        <f>SUM(C41,C49)</f>
        <v>72.89</v>
      </c>
      <c r="D50" s="171"/>
    </row>
    <row r="51" spans="1:4" ht="15.75" x14ac:dyDescent="0.25">
      <c r="A51" s="258" t="s">
        <v>19</v>
      </c>
      <c r="B51" s="258"/>
      <c r="C51" s="120">
        <v>1</v>
      </c>
    </row>
    <row r="52" spans="1:4" ht="15.75" x14ac:dyDescent="0.25">
      <c r="A52" s="258" t="s">
        <v>20</v>
      </c>
      <c r="B52" s="258"/>
      <c r="C52" s="119">
        <f>C50</f>
        <v>72.89</v>
      </c>
    </row>
    <row r="53" spans="1:4" ht="15.75" x14ac:dyDescent="0.25">
      <c r="A53" s="258" t="s">
        <v>21</v>
      </c>
      <c r="B53" s="258"/>
      <c r="C53" s="120">
        <v>541</v>
      </c>
    </row>
    <row r="54" spans="1:4" ht="15.75" x14ac:dyDescent="0.25">
      <c r="A54" s="258" t="s">
        <v>22</v>
      </c>
      <c r="B54" s="258"/>
      <c r="C54" s="119">
        <f>C53*C52</f>
        <v>39433.49</v>
      </c>
    </row>
    <row r="55" spans="1:4" ht="15.75" x14ac:dyDescent="0.25">
      <c r="C55" s="246">
        <v>34.770000000000003</v>
      </c>
    </row>
    <row r="56" spans="1:4" ht="15.75" x14ac:dyDescent="0.25">
      <c r="C56" s="245">
        <v>541</v>
      </c>
    </row>
    <row r="57" spans="1:4" ht="15.75" x14ac:dyDescent="0.25">
      <c r="C57" s="245">
        <f>C55*C56</f>
        <v>18810.570000000003</v>
      </c>
    </row>
    <row r="58" spans="1:4" ht="47.25" x14ac:dyDescent="0.25">
      <c r="B58" s="248" t="s">
        <v>706</v>
      </c>
    </row>
  </sheetData>
  <mergeCells count="5">
    <mergeCell ref="B2:C2"/>
    <mergeCell ref="A51:B51"/>
    <mergeCell ref="A52:B52"/>
    <mergeCell ref="A53:B53"/>
    <mergeCell ref="A54:B5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30FA-BF45-4DF4-8030-ACEB41BD5C59}">
  <sheetPr>
    <tabColor theme="9" tint="0.79998168889431442"/>
  </sheetPr>
  <dimension ref="A1:D30"/>
  <sheetViews>
    <sheetView topLeftCell="A6" zoomScaleNormal="100" workbookViewId="0">
      <selection activeCell="G13" sqref="G13"/>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596</v>
      </c>
      <c r="C3" s="152"/>
    </row>
    <row r="4" spans="1:3" x14ac:dyDescent="0.25">
      <c r="A4" s="149"/>
      <c r="B4" s="170" t="s">
        <v>597</v>
      </c>
    </row>
    <row r="5" spans="1:3" x14ac:dyDescent="0.25">
      <c r="A5" s="151" t="s">
        <v>71</v>
      </c>
      <c r="B5" s="152" t="s">
        <v>203</v>
      </c>
    </row>
    <row r="7" spans="1:3" ht="16.5" thickBot="1" x14ac:dyDescent="0.3"/>
    <row r="8" spans="1:3" ht="63.75" thickBot="1" x14ac:dyDescent="0.3">
      <c r="A8" s="33" t="s">
        <v>0</v>
      </c>
      <c r="B8" s="33" t="s">
        <v>1</v>
      </c>
      <c r="C8" s="33" t="s">
        <v>2</v>
      </c>
    </row>
    <row r="9" spans="1:3" ht="16.5" thickBot="1" x14ac:dyDescent="0.3">
      <c r="A9" s="33">
        <v>1</v>
      </c>
      <c r="B9" s="33">
        <v>2</v>
      </c>
      <c r="C9" s="33">
        <v>3</v>
      </c>
    </row>
    <row r="10" spans="1:3" ht="16.5" thickBot="1" x14ac:dyDescent="0.3">
      <c r="A10" s="34"/>
      <c r="B10" s="33" t="s">
        <v>3</v>
      </c>
      <c r="C10" s="33" t="s">
        <v>4</v>
      </c>
    </row>
    <row r="11" spans="1:3" ht="16.5" thickBot="1" x14ac:dyDescent="0.3">
      <c r="A11" s="34"/>
      <c r="B11" s="37" t="s">
        <v>241</v>
      </c>
      <c r="C11" s="33"/>
    </row>
    <row r="12" spans="1:3" ht="79.5" thickBot="1" x14ac:dyDescent="0.3">
      <c r="A12" s="3">
        <v>1100</v>
      </c>
      <c r="B12" s="179" t="s">
        <v>678</v>
      </c>
      <c r="C12" s="36">
        <f>ROUND((12.97*1.2),2)</f>
        <v>15.56</v>
      </c>
    </row>
    <row r="13" spans="1:3" ht="79.5" thickBot="1" x14ac:dyDescent="0.3">
      <c r="A13" s="3">
        <v>1100</v>
      </c>
      <c r="B13" s="179" t="s">
        <v>243</v>
      </c>
      <c r="C13" s="36">
        <f>12.97*0.667</f>
        <v>8.6509900000000002</v>
      </c>
    </row>
    <row r="14" spans="1:3" ht="48" thickBot="1" x14ac:dyDescent="0.3">
      <c r="A14" s="33">
        <v>2322</v>
      </c>
      <c r="B14" s="37" t="s">
        <v>244</v>
      </c>
      <c r="C14" s="36">
        <f>4.5*1.73</f>
        <v>7.7850000000000001</v>
      </c>
    </row>
    <row r="15" spans="1:3" ht="16.5" thickBot="1" x14ac:dyDescent="0.3">
      <c r="A15" s="33">
        <v>2310</v>
      </c>
      <c r="B15" s="37" t="s">
        <v>245</v>
      </c>
      <c r="C15" s="36">
        <v>0.16</v>
      </c>
    </row>
    <row r="16" spans="1:3" ht="16.5" thickBot="1" x14ac:dyDescent="0.3">
      <c r="A16" s="33">
        <v>2210</v>
      </c>
      <c r="B16" s="37" t="s">
        <v>246</v>
      </c>
      <c r="C16" s="36">
        <v>7.0000000000000007E-2</v>
      </c>
    </row>
    <row r="17" spans="1:4" ht="16.5" thickBot="1" x14ac:dyDescent="0.3">
      <c r="A17" s="34"/>
      <c r="B17" s="39" t="s">
        <v>247</v>
      </c>
      <c r="C17" s="36">
        <f>SUM(C12:C16)</f>
        <v>32.225990000000003</v>
      </c>
    </row>
    <row r="18" spans="1:4" ht="16.5" thickBot="1" x14ac:dyDescent="0.3">
      <c r="A18" s="130"/>
      <c r="B18" s="39" t="s">
        <v>8</v>
      </c>
      <c r="C18" s="103">
        <f>C17</f>
        <v>32.225990000000003</v>
      </c>
    </row>
    <row r="19" spans="1:4" ht="16.5" thickBot="1" x14ac:dyDescent="0.3">
      <c r="A19" s="34"/>
      <c r="B19" s="33" t="s">
        <v>9</v>
      </c>
      <c r="C19" s="36" t="s">
        <v>4</v>
      </c>
    </row>
    <row r="20" spans="1:4" ht="16.5" thickBot="1" x14ac:dyDescent="0.3">
      <c r="A20" s="1">
        <v>1100</v>
      </c>
      <c r="B20" s="180" t="s">
        <v>10</v>
      </c>
      <c r="C20" s="36">
        <v>0.37</v>
      </c>
    </row>
    <row r="21" spans="1:4" ht="16.5" thickBot="1" x14ac:dyDescent="0.3">
      <c r="A21" s="181">
        <v>2210</v>
      </c>
      <c r="B21" s="182" t="s">
        <v>11</v>
      </c>
      <c r="C21" s="92">
        <v>0.12</v>
      </c>
    </row>
    <row r="22" spans="1:4" ht="16.5" thickBot="1" x14ac:dyDescent="0.3">
      <c r="A22" s="183">
        <v>2242</v>
      </c>
      <c r="B22" s="184" t="s">
        <v>31</v>
      </c>
      <c r="C22" s="103">
        <v>0.18</v>
      </c>
    </row>
    <row r="23" spans="1:4" ht="16.5" thickBot="1" x14ac:dyDescent="0.3">
      <c r="A23" s="185">
        <v>2310</v>
      </c>
      <c r="B23" s="186" t="s">
        <v>15</v>
      </c>
      <c r="C23" s="103">
        <v>0.24</v>
      </c>
    </row>
    <row r="24" spans="1:4" ht="16.5" thickBot="1" x14ac:dyDescent="0.3">
      <c r="A24" s="46">
        <v>5200</v>
      </c>
      <c r="B24" s="187" t="s">
        <v>201</v>
      </c>
      <c r="C24" s="103">
        <v>0.23</v>
      </c>
    </row>
    <row r="25" spans="1:4" ht="16.5" thickBot="1" x14ac:dyDescent="0.3">
      <c r="A25" s="58"/>
      <c r="B25" s="139" t="s">
        <v>17</v>
      </c>
      <c r="C25" s="36">
        <f>SUM(C20:C24)</f>
        <v>1.1399999999999999</v>
      </c>
    </row>
    <row r="26" spans="1:4" ht="16.5" thickBot="1" x14ac:dyDescent="0.3">
      <c r="A26" s="33"/>
      <c r="B26" s="45" t="s">
        <v>18</v>
      </c>
      <c r="C26" s="36">
        <f>C18+C25</f>
        <v>33.365990000000004</v>
      </c>
      <c r="D26" s="171"/>
    </row>
    <row r="27" spans="1:4" ht="15.95" customHeight="1" thickBot="1" x14ac:dyDescent="0.3">
      <c r="A27" s="264" t="s">
        <v>19</v>
      </c>
      <c r="B27" s="265"/>
      <c r="C27" s="48">
        <v>1</v>
      </c>
    </row>
    <row r="28" spans="1:4" ht="15.95" customHeight="1" thickBot="1" x14ac:dyDescent="0.3">
      <c r="A28" s="252" t="s">
        <v>20</v>
      </c>
      <c r="B28" s="253"/>
      <c r="C28" s="23">
        <f>C26</f>
        <v>33.365990000000004</v>
      </c>
    </row>
    <row r="29" spans="1:4" ht="15.95" customHeight="1" thickBot="1" x14ac:dyDescent="0.3">
      <c r="A29" s="252" t="s">
        <v>21</v>
      </c>
      <c r="B29" s="253"/>
      <c r="C29" s="46">
        <v>10</v>
      </c>
    </row>
    <row r="30" spans="1:4" ht="15.95" customHeight="1" thickBot="1" x14ac:dyDescent="0.3">
      <c r="A30" s="252" t="s">
        <v>22</v>
      </c>
      <c r="B30" s="253"/>
      <c r="C30" s="47">
        <f>C29*C28</f>
        <v>333.65990000000005</v>
      </c>
    </row>
  </sheetData>
  <mergeCells count="5">
    <mergeCell ref="B2:C2"/>
    <mergeCell ref="A27:B27"/>
    <mergeCell ref="A28:B28"/>
    <mergeCell ref="A29:B29"/>
    <mergeCell ref="A30:B30"/>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75EA-E01C-4E49-B103-367DDD622CD9}">
  <sheetPr>
    <tabColor theme="9" tint="0.79998168889431442"/>
  </sheetPr>
  <dimension ref="A1:D29"/>
  <sheetViews>
    <sheetView zoomScale="85" zoomScaleNormal="85" workbookViewId="0">
      <selection activeCell="C15" sqref="C15"/>
    </sheetView>
  </sheetViews>
  <sheetFormatPr defaultColWidth="8.7109375" defaultRowHeight="15.75" x14ac:dyDescent="0.25"/>
  <cols>
    <col min="1" max="1" width="21.140625" style="170" bestFit="1" customWidth="1"/>
    <col min="2" max="2" width="132.5703125" style="170" customWidth="1"/>
    <col min="3" max="3" width="26.42578125" style="170" customWidth="1"/>
    <col min="4" max="16384" width="8.7109375" style="170"/>
  </cols>
  <sheetData>
    <row r="1" spans="1:3" x14ac:dyDescent="0.25">
      <c r="A1" s="148" t="s">
        <v>66</v>
      </c>
      <c r="B1" s="149" t="s">
        <v>67</v>
      </c>
      <c r="C1" s="150"/>
    </row>
    <row r="2" spans="1:3" ht="31.5" x14ac:dyDescent="0.25">
      <c r="A2" s="151" t="s">
        <v>68</v>
      </c>
      <c r="B2" s="254" t="s">
        <v>567</v>
      </c>
      <c r="C2" s="254"/>
    </row>
    <row r="3" spans="1:3" x14ac:dyDescent="0.25">
      <c r="A3" s="149"/>
      <c r="B3" s="178" t="s">
        <v>596</v>
      </c>
      <c r="C3" s="152"/>
    </row>
    <row r="4" spans="1:3" x14ac:dyDescent="0.25">
      <c r="A4" s="149"/>
      <c r="B4" s="170" t="s">
        <v>676</v>
      </c>
    </row>
    <row r="5" spans="1:3" x14ac:dyDescent="0.25">
      <c r="A5" s="149"/>
      <c r="B5" s="214" t="s">
        <v>598</v>
      </c>
    </row>
    <row r="6" spans="1:3" x14ac:dyDescent="0.25">
      <c r="A6" s="151" t="s">
        <v>71</v>
      </c>
      <c r="B6" s="152" t="s">
        <v>203</v>
      </c>
    </row>
    <row r="8" spans="1:3" ht="16.5" thickBot="1" x14ac:dyDescent="0.3"/>
    <row r="9" spans="1:3" ht="63.75" thickBot="1" x14ac:dyDescent="0.3">
      <c r="A9" s="33" t="s">
        <v>0</v>
      </c>
      <c r="B9" s="33" t="s">
        <v>1</v>
      </c>
      <c r="C9" s="33" t="s">
        <v>2</v>
      </c>
    </row>
    <row r="10" spans="1:3" ht="16.5" thickBot="1" x14ac:dyDescent="0.3">
      <c r="A10" s="33">
        <v>1</v>
      </c>
      <c r="B10" s="33">
        <v>2</v>
      </c>
      <c r="C10" s="33">
        <v>3</v>
      </c>
    </row>
    <row r="11" spans="1:3" ht="16.5" thickBot="1" x14ac:dyDescent="0.3">
      <c r="A11" s="34"/>
      <c r="B11" s="33" t="s">
        <v>3</v>
      </c>
      <c r="C11" s="33" t="s">
        <v>4</v>
      </c>
    </row>
    <row r="12" spans="1:3" ht="16.5" thickBot="1" x14ac:dyDescent="0.3">
      <c r="A12" s="34"/>
      <c r="B12" s="37" t="s">
        <v>241</v>
      </c>
      <c r="C12" s="33"/>
    </row>
    <row r="13" spans="1:3" ht="79.5" thickBot="1" x14ac:dyDescent="0.3">
      <c r="A13" s="3">
        <v>1100</v>
      </c>
      <c r="B13" s="179" t="s">
        <v>677</v>
      </c>
      <c r="C13" s="36">
        <f>ROUND((12.97*3),2)</f>
        <v>38.909999999999997</v>
      </c>
    </row>
    <row r="14" spans="1:3" ht="79.5" thickBot="1" x14ac:dyDescent="0.3">
      <c r="A14" s="3">
        <v>1100</v>
      </c>
      <c r="B14" s="179" t="s">
        <v>243</v>
      </c>
      <c r="C14" s="36">
        <f>12.97*0.667</f>
        <v>8.6509900000000002</v>
      </c>
    </row>
    <row r="15" spans="1:3" ht="48" thickBot="1" x14ac:dyDescent="0.3">
      <c r="A15" s="33">
        <v>2322</v>
      </c>
      <c r="B15" s="37" t="s">
        <v>244</v>
      </c>
      <c r="C15" s="36">
        <f>4.5*1.73</f>
        <v>7.7850000000000001</v>
      </c>
    </row>
    <row r="16" spans="1:3" ht="16.5" thickBot="1" x14ac:dyDescent="0.3">
      <c r="A16" s="34"/>
      <c r="B16" s="39" t="s">
        <v>247</v>
      </c>
      <c r="C16" s="36">
        <f>SUM(C13:C15)</f>
        <v>55.34599</v>
      </c>
    </row>
    <row r="17" spans="1:4" ht="16.5" thickBot="1" x14ac:dyDescent="0.3">
      <c r="A17" s="130"/>
      <c r="B17" s="39" t="s">
        <v>8</v>
      </c>
      <c r="C17" s="103">
        <f>C16</f>
        <v>55.34599</v>
      </c>
    </row>
    <row r="18" spans="1:4" ht="16.5" thickBot="1" x14ac:dyDescent="0.3">
      <c r="A18" s="34"/>
      <c r="B18" s="33" t="s">
        <v>9</v>
      </c>
      <c r="C18" s="36" t="s">
        <v>4</v>
      </c>
    </row>
    <row r="19" spans="1:4" ht="16.5" thickBot="1" x14ac:dyDescent="0.3">
      <c r="A19" s="1">
        <v>1100</v>
      </c>
      <c r="B19" s="180" t="s">
        <v>10</v>
      </c>
      <c r="C19" s="193">
        <v>0.59</v>
      </c>
    </row>
    <row r="20" spans="1:4" ht="16.5" thickBot="1" x14ac:dyDescent="0.3">
      <c r="A20" s="181">
        <v>2210</v>
      </c>
      <c r="B20" s="182" t="s">
        <v>11</v>
      </c>
      <c r="C20" s="200">
        <v>0.17</v>
      </c>
    </row>
    <row r="21" spans="1:4" ht="16.5" thickBot="1" x14ac:dyDescent="0.3">
      <c r="A21" s="183">
        <v>2242</v>
      </c>
      <c r="B21" s="184" t="s">
        <v>31</v>
      </c>
      <c r="C21" s="195">
        <v>0.31</v>
      </c>
    </row>
    <row r="22" spans="1:4" ht="16.5" thickBot="1" x14ac:dyDescent="0.3">
      <c r="A22" s="185">
        <v>2310</v>
      </c>
      <c r="B22" s="186" t="s">
        <v>15</v>
      </c>
      <c r="C22" s="195">
        <v>0.4</v>
      </c>
    </row>
    <row r="23" spans="1:4" ht="16.5" thickBot="1" x14ac:dyDescent="0.3">
      <c r="A23" s="46">
        <v>5200</v>
      </c>
      <c r="B23" s="187" t="s">
        <v>201</v>
      </c>
      <c r="C23" s="195">
        <v>0.39</v>
      </c>
    </row>
    <row r="24" spans="1:4" ht="16.5" thickBot="1" x14ac:dyDescent="0.3">
      <c r="A24" s="58"/>
      <c r="B24" s="139" t="s">
        <v>17</v>
      </c>
      <c r="C24" s="36">
        <f>SUM(C19:C23)</f>
        <v>1.8600000000000003</v>
      </c>
    </row>
    <row r="25" spans="1:4" ht="16.5" thickBot="1" x14ac:dyDescent="0.3">
      <c r="A25" s="33"/>
      <c r="B25" s="45" t="s">
        <v>18</v>
      </c>
      <c r="C25" s="36">
        <f>C17+C24</f>
        <v>57.20599</v>
      </c>
      <c r="D25" s="171"/>
    </row>
    <row r="26" spans="1:4" ht="16.5" thickBot="1" x14ac:dyDescent="0.3">
      <c r="A26" s="264" t="s">
        <v>19</v>
      </c>
      <c r="B26" s="265"/>
      <c r="C26" s="48">
        <v>1</v>
      </c>
    </row>
    <row r="27" spans="1:4" ht="16.5" thickBot="1" x14ac:dyDescent="0.3">
      <c r="A27" s="252" t="s">
        <v>20</v>
      </c>
      <c r="B27" s="253"/>
      <c r="C27" s="23">
        <f>C25</f>
        <v>57.20599</v>
      </c>
    </row>
    <row r="28" spans="1:4" ht="16.5" thickBot="1" x14ac:dyDescent="0.3">
      <c r="A28" s="252" t="s">
        <v>21</v>
      </c>
      <c r="B28" s="253"/>
      <c r="C28" s="46">
        <v>22</v>
      </c>
    </row>
    <row r="29" spans="1:4" ht="16.5" thickBot="1" x14ac:dyDescent="0.3">
      <c r="A29" s="252" t="s">
        <v>22</v>
      </c>
      <c r="B29" s="253"/>
      <c r="C29" s="47">
        <f>C28*C27</f>
        <v>1258.53178</v>
      </c>
    </row>
  </sheetData>
  <mergeCells count="5">
    <mergeCell ref="B2:C2"/>
    <mergeCell ref="A26:B26"/>
    <mergeCell ref="A27:B27"/>
    <mergeCell ref="A28:B28"/>
    <mergeCell ref="A29:B29"/>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A031-19DD-41C1-AF68-CD4A8FB2871D}">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239</v>
      </c>
      <c r="C2" s="252"/>
    </row>
    <row r="3" spans="1:3" ht="15.75" x14ac:dyDescent="0.25">
      <c r="A3" s="31"/>
      <c r="B3" s="32" t="s">
        <v>240</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242</v>
      </c>
      <c r="C11" s="36">
        <f>ROUND((12.97*4.17),2)</f>
        <v>54.08</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70.745989999999992</v>
      </c>
    </row>
    <row r="17" spans="1:3" ht="16.5" thickBot="1" x14ac:dyDescent="0.3">
      <c r="A17" s="130"/>
      <c r="B17" s="39" t="s">
        <v>8</v>
      </c>
      <c r="C17" s="103">
        <f>C16</f>
        <v>70.745989999999992</v>
      </c>
    </row>
    <row r="18" spans="1:3" ht="16.5" thickBot="1" x14ac:dyDescent="0.3">
      <c r="A18" s="34"/>
      <c r="B18" s="33" t="s">
        <v>9</v>
      </c>
      <c r="C18" s="36" t="s">
        <v>4</v>
      </c>
    </row>
    <row r="19" spans="1:3" ht="16.5" thickBot="1" x14ac:dyDescent="0.3">
      <c r="A19" s="33">
        <v>1100</v>
      </c>
      <c r="B19" s="131" t="s">
        <v>10</v>
      </c>
      <c r="C19" s="36">
        <v>2.29</v>
      </c>
    </row>
    <row r="20" spans="1:3" ht="16.5" thickBot="1" x14ac:dyDescent="0.3">
      <c r="A20" s="132">
        <v>2210</v>
      </c>
      <c r="B20" s="133" t="s">
        <v>11</v>
      </c>
      <c r="C20" s="92">
        <v>0.76</v>
      </c>
    </row>
    <row r="21" spans="1:3" ht="16.5" thickBot="1" x14ac:dyDescent="0.3">
      <c r="A21" s="134">
        <v>2242</v>
      </c>
      <c r="B21" s="135" t="s">
        <v>31</v>
      </c>
      <c r="C21" s="103">
        <v>1.1200000000000001</v>
      </c>
    </row>
    <row r="22" spans="1:3" ht="16.5" thickBot="1" x14ac:dyDescent="0.3">
      <c r="A22" s="136">
        <v>2310</v>
      </c>
      <c r="B22" s="137" t="s">
        <v>15</v>
      </c>
      <c r="C22" s="103">
        <v>1.45</v>
      </c>
    </row>
    <row r="23" spans="1:3" ht="16.5" thickBot="1" x14ac:dyDescent="0.3">
      <c r="A23" s="46">
        <v>5200</v>
      </c>
      <c r="B23" s="138" t="s">
        <v>201</v>
      </c>
      <c r="C23" s="103">
        <v>1.45</v>
      </c>
    </row>
    <row r="24" spans="1:3" ht="16.5" thickBot="1" x14ac:dyDescent="0.3">
      <c r="A24" s="58"/>
      <c r="B24" s="139" t="s">
        <v>17</v>
      </c>
      <c r="C24" s="36">
        <f>SUM(C19:C23)</f>
        <v>7.07</v>
      </c>
    </row>
    <row r="25" spans="1:3" ht="16.5" thickBot="1" x14ac:dyDescent="0.3">
      <c r="A25" s="33"/>
      <c r="B25" s="45" t="s">
        <v>18</v>
      </c>
      <c r="C25" s="36">
        <f>ROUND((C17+C24),2)</f>
        <v>77.819999999999993</v>
      </c>
    </row>
    <row r="26" spans="1:3" ht="16.5" thickBot="1" x14ac:dyDescent="0.3">
      <c r="A26" s="264" t="s">
        <v>19</v>
      </c>
      <c r="B26" s="265"/>
      <c r="C26" s="48">
        <v>1</v>
      </c>
    </row>
    <row r="27" spans="1:3" ht="16.5" thickBot="1" x14ac:dyDescent="0.3">
      <c r="A27" s="252" t="s">
        <v>20</v>
      </c>
      <c r="B27" s="253"/>
      <c r="C27" s="47">
        <f>C25</f>
        <v>77.819999999999993</v>
      </c>
    </row>
    <row r="28" spans="1:3" ht="16.5" thickBot="1" x14ac:dyDescent="0.3">
      <c r="A28" s="252" t="s">
        <v>21</v>
      </c>
      <c r="B28" s="253"/>
      <c r="C28" s="46">
        <v>22</v>
      </c>
    </row>
    <row r="29" spans="1:3" ht="16.5" thickBot="1" x14ac:dyDescent="0.3">
      <c r="A29" s="252" t="s">
        <v>22</v>
      </c>
      <c r="B29" s="253"/>
      <c r="C29" s="47">
        <f>C28*C27</f>
        <v>1712.04</v>
      </c>
    </row>
  </sheetData>
  <mergeCells count="5">
    <mergeCell ref="B2:C2"/>
    <mergeCell ref="A26:B26"/>
    <mergeCell ref="A27:B27"/>
    <mergeCell ref="A28:B28"/>
    <mergeCell ref="A29:B29"/>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A3C1-E90B-4C29-9FFA-4B10449D0794}">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239</v>
      </c>
      <c r="C2" s="252"/>
    </row>
    <row r="3" spans="1:3" ht="15.75" x14ac:dyDescent="0.25">
      <c r="A3" s="31"/>
      <c r="B3" s="32" t="s">
        <v>248</v>
      </c>
      <c r="C3" s="32"/>
    </row>
    <row r="4" spans="1:3" ht="15.75" x14ac:dyDescent="0.25">
      <c r="A4" s="31" t="s">
        <v>71</v>
      </c>
      <c r="B4" s="29" t="s">
        <v>187</v>
      </c>
      <c r="C4" s="30"/>
    </row>
    <row r="5" spans="1:3" ht="15.75" x14ac:dyDescent="0.25">
      <c r="A5" s="31"/>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249</v>
      </c>
      <c r="C11" s="36">
        <f>ROUND((12.97*6.25),2)</f>
        <v>81.06</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97.725989999999996</v>
      </c>
    </row>
    <row r="17" spans="1:3" ht="16.5" thickBot="1" x14ac:dyDescent="0.3">
      <c r="A17" s="130"/>
      <c r="B17" s="39" t="s">
        <v>8</v>
      </c>
      <c r="C17" s="103">
        <f>C16</f>
        <v>97.725989999999996</v>
      </c>
    </row>
    <row r="18" spans="1:3" ht="16.5" thickBot="1" x14ac:dyDescent="0.3">
      <c r="A18" s="34"/>
      <c r="B18" s="33" t="s">
        <v>9</v>
      </c>
      <c r="C18" s="36" t="s">
        <v>4</v>
      </c>
    </row>
    <row r="19" spans="1:3" ht="16.5" thickBot="1" x14ac:dyDescent="0.3">
      <c r="A19" s="33">
        <v>1100</v>
      </c>
      <c r="B19" s="131" t="s">
        <v>10</v>
      </c>
      <c r="C19" s="36">
        <v>3.16</v>
      </c>
    </row>
    <row r="20" spans="1:3" ht="16.5" thickBot="1" x14ac:dyDescent="0.3">
      <c r="A20" s="132">
        <v>2210</v>
      </c>
      <c r="B20" s="133" t="s">
        <v>11</v>
      </c>
      <c r="C20" s="92">
        <v>1.06</v>
      </c>
    </row>
    <row r="21" spans="1:3" ht="16.5" thickBot="1" x14ac:dyDescent="0.3">
      <c r="A21" s="134">
        <v>2242</v>
      </c>
      <c r="B21" s="135" t="s">
        <v>31</v>
      </c>
      <c r="C21" s="103">
        <v>1.55</v>
      </c>
    </row>
    <row r="22" spans="1:3" ht="16.5" thickBot="1" x14ac:dyDescent="0.3">
      <c r="A22" s="136">
        <v>2310</v>
      </c>
      <c r="B22" s="137" t="s">
        <v>15</v>
      </c>
      <c r="C22" s="103">
        <v>2</v>
      </c>
    </row>
    <row r="23" spans="1:3" ht="16.5" thickBot="1" x14ac:dyDescent="0.3">
      <c r="A23" s="46">
        <v>5200</v>
      </c>
      <c r="B23" s="138" t="s">
        <v>201</v>
      </c>
      <c r="C23" s="103">
        <v>2.0099999999999998</v>
      </c>
    </row>
    <row r="24" spans="1:3" ht="16.5" thickBot="1" x14ac:dyDescent="0.3">
      <c r="A24" s="58"/>
      <c r="B24" s="139" t="s">
        <v>17</v>
      </c>
      <c r="C24" s="36">
        <f>SUM(C19:C23)</f>
        <v>9.7800000000000011</v>
      </c>
    </row>
    <row r="25" spans="1:3" ht="16.5" thickBot="1" x14ac:dyDescent="0.3">
      <c r="A25" s="33"/>
      <c r="B25" s="45" t="s">
        <v>18</v>
      </c>
      <c r="C25" s="36">
        <f>ROUND((C17+C24),2)</f>
        <v>107.51</v>
      </c>
    </row>
    <row r="26" spans="1:3" ht="16.5" thickBot="1" x14ac:dyDescent="0.3">
      <c r="A26" s="264" t="s">
        <v>19</v>
      </c>
      <c r="B26" s="265"/>
      <c r="C26" s="48">
        <v>1</v>
      </c>
    </row>
    <row r="27" spans="1:3" ht="16.5" thickBot="1" x14ac:dyDescent="0.3">
      <c r="A27" s="252" t="s">
        <v>20</v>
      </c>
      <c r="B27" s="253"/>
      <c r="C27" s="47">
        <f>C25</f>
        <v>107.51</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E1B1-E49B-4FB7-971B-4034A1E1FE7D}">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239</v>
      </c>
      <c r="C2" s="252"/>
    </row>
    <row r="3" spans="1:3" ht="15.75" x14ac:dyDescent="0.25">
      <c r="A3" s="31"/>
      <c r="B3" s="32" t="s">
        <v>250</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251</v>
      </c>
      <c r="C11" s="36">
        <f>ROUND((12.97*8.33),2)</f>
        <v>108.04</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124.70598999999999</v>
      </c>
    </row>
    <row r="17" spans="1:3" ht="16.5" thickBot="1" x14ac:dyDescent="0.3">
      <c r="A17" s="130"/>
      <c r="B17" s="39" t="s">
        <v>8</v>
      </c>
      <c r="C17" s="103">
        <f>C16</f>
        <v>124.70598999999999</v>
      </c>
    </row>
    <row r="18" spans="1:3" ht="16.5" thickBot="1" x14ac:dyDescent="0.3">
      <c r="A18" s="34"/>
      <c r="B18" s="33" t="s">
        <v>9</v>
      </c>
      <c r="C18" s="36" t="s">
        <v>4</v>
      </c>
    </row>
    <row r="19" spans="1:3" ht="16.5" thickBot="1" x14ac:dyDescent="0.3">
      <c r="A19" s="33">
        <v>1100</v>
      </c>
      <c r="B19" s="131" t="s">
        <v>10</v>
      </c>
      <c r="C19" s="36">
        <v>4.04</v>
      </c>
    </row>
    <row r="20" spans="1:3" ht="16.5" thickBot="1" x14ac:dyDescent="0.3">
      <c r="A20" s="132">
        <v>2210</v>
      </c>
      <c r="B20" s="133" t="s">
        <v>11</v>
      </c>
      <c r="C20" s="92">
        <v>1.35</v>
      </c>
    </row>
    <row r="21" spans="1:3" ht="16.5" thickBot="1" x14ac:dyDescent="0.3">
      <c r="A21" s="134">
        <v>2242</v>
      </c>
      <c r="B21" s="135" t="s">
        <v>31</v>
      </c>
      <c r="C21" s="103">
        <v>1.98</v>
      </c>
    </row>
    <row r="22" spans="1:3" ht="16.5" thickBot="1" x14ac:dyDescent="0.3">
      <c r="A22" s="136">
        <v>2310</v>
      </c>
      <c r="B22" s="137" t="s">
        <v>15</v>
      </c>
      <c r="C22" s="103">
        <v>2.5499999999999998</v>
      </c>
    </row>
    <row r="23" spans="1:3" ht="16.5" thickBot="1" x14ac:dyDescent="0.3">
      <c r="A23" s="46">
        <v>5200</v>
      </c>
      <c r="B23" s="138" t="s">
        <v>201</v>
      </c>
      <c r="C23" s="103">
        <v>2.56</v>
      </c>
    </row>
    <row r="24" spans="1:3" ht="16.5" thickBot="1" x14ac:dyDescent="0.3">
      <c r="A24" s="58"/>
      <c r="B24" s="139" t="s">
        <v>17</v>
      </c>
      <c r="C24" s="36">
        <f>SUM(C19:C23)</f>
        <v>12.480000000000002</v>
      </c>
    </row>
    <row r="25" spans="1:3" ht="16.5" thickBot="1" x14ac:dyDescent="0.3">
      <c r="A25" s="33"/>
      <c r="B25" s="45" t="s">
        <v>18</v>
      </c>
      <c r="C25" s="36">
        <f>ROUND((C17+C24),2)</f>
        <v>137.19</v>
      </c>
    </row>
    <row r="26" spans="1:3" ht="16.5" thickBot="1" x14ac:dyDescent="0.3">
      <c r="A26" s="264" t="s">
        <v>19</v>
      </c>
      <c r="B26" s="265"/>
      <c r="C26" s="48">
        <v>1</v>
      </c>
    </row>
    <row r="27" spans="1:3" ht="16.5" thickBot="1" x14ac:dyDescent="0.3">
      <c r="A27" s="252" t="s">
        <v>20</v>
      </c>
      <c r="B27" s="253"/>
      <c r="C27" s="47">
        <f>C25</f>
        <v>137.19</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DBB75-E67A-4FA9-8990-B3DBD4A16BD3}">
  <sheetPr>
    <tabColor theme="9" tint="0.79998168889431442"/>
  </sheetPr>
  <dimension ref="A1:C29"/>
  <sheetViews>
    <sheetView topLeftCell="A5"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252</v>
      </c>
      <c r="C2" s="252"/>
    </row>
    <row r="3" spans="1:3" ht="15.75" x14ac:dyDescent="0.25">
      <c r="A3" s="31"/>
      <c r="B3" s="32" t="s">
        <v>253</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254</v>
      </c>
      <c r="C11" s="36">
        <f>ROUND((12.97*2.78),2)</f>
        <v>36.06</v>
      </c>
    </row>
    <row r="12" spans="1:3" ht="79.5" thickBot="1" x14ac:dyDescent="0.3">
      <c r="A12" s="38">
        <v>1100</v>
      </c>
      <c r="B12" s="37" t="s">
        <v>243</v>
      </c>
      <c r="C12" s="36">
        <f>ROUND((12.97*0.667),2)</f>
        <v>8.65</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52.725000000000001</v>
      </c>
    </row>
    <row r="17" spans="1:3" ht="16.5" thickBot="1" x14ac:dyDescent="0.3">
      <c r="A17" s="130"/>
      <c r="B17" s="39" t="s">
        <v>8</v>
      </c>
      <c r="C17" s="103">
        <f>C16</f>
        <v>52.725000000000001</v>
      </c>
    </row>
    <row r="18" spans="1:3" ht="16.5" thickBot="1" x14ac:dyDescent="0.3">
      <c r="A18" s="34"/>
      <c r="B18" s="33" t="s">
        <v>9</v>
      </c>
      <c r="C18" s="36" t="s">
        <v>4</v>
      </c>
    </row>
    <row r="19" spans="1:3" ht="16.5" thickBot="1" x14ac:dyDescent="0.3">
      <c r="A19" s="33">
        <v>1100</v>
      </c>
      <c r="B19" s="131" t="s">
        <v>10</v>
      </c>
      <c r="C19" s="36">
        <v>1.7</v>
      </c>
    </row>
    <row r="20" spans="1:3" ht="16.5" thickBot="1" x14ac:dyDescent="0.3">
      <c r="A20" s="132">
        <v>2210</v>
      </c>
      <c r="B20" s="133" t="s">
        <v>11</v>
      </c>
      <c r="C20" s="92">
        <v>0.56999999999999995</v>
      </c>
    </row>
    <row r="21" spans="1:3" ht="16.5" thickBot="1" x14ac:dyDescent="0.3">
      <c r="A21" s="134">
        <v>2242</v>
      </c>
      <c r="B21" s="135" t="s">
        <v>31</v>
      </c>
      <c r="C21" s="103">
        <v>0.84</v>
      </c>
    </row>
    <row r="22" spans="1:3" ht="16.5" thickBot="1" x14ac:dyDescent="0.3">
      <c r="A22" s="136">
        <v>2310</v>
      </c>
      <c r="B22" s="137" t="s">
        <v>15</v>
      </c>
      <c r="C22" s="103">
        <v>1.08</v>
      </c>
    </row>
    <row r="23" spans="1:3" ht="16.5" thickBot="1" x14ac:dyDescent="0.3">
      <c r="A23" s="46">
        <v>5200</v>
      </c>
      <c r="B23" s="138" t="s">
        <v>201</v>
      </c>
      <c r="C23" s="103">
        <v>1.08</v>
      </c>
    </row>
    <row r="24" spans="1:3" ht="16.5" thickBot="1" x14ac:dyDescent="0.3">
      <c r="A24" s="58"/>
      <c r="B24" s="139" t="s">
        <v>17</v>
      </c>
      <c r="C24" s="36">
        <f>SUM(C19:C23)</f>
        <v>5.27</v>
      </c>
    </row>
    <row r="25" spans="1:3" ht="16.5" thickBot="1" x14ac:dyDescent="0.3">
      <c r="A25" s="33"/>
      <c r="B25" s="45" t="s">
        <v>18</v>
      </c>
      <c r="C25" s="36">
        <f>ROUND((ROUND((C17+C24),2)),2)</f>
        <v>58</v>
      </c>
    </row>
    <row r="26" spans="1:3" ht="16.5" thickBot="1" x14ac:dyDescent="0.3">
      <c r="A26" s="264" t="s">
        <v>19</v>
      </c>
      <c r="B26" s="265"/>
      <c r="C26" s="48">
        <v>1</v>
      </c>
    </row>
    <row r="27" spans="1:3" ht="16.5" thickBot="1" x14ac:dyDescent="0.3">
      <c r="A27" s="252" t="s">
        <v>20</v>
      </c>
      <c r="B27" s="253"/>
      <c r="C27" s="47">
        <f>C25</f>
        <v>58</v>
      </c>
    </row>
    <row r="28" spans="1:3" ht="16.5" thickBot="1" x14ac:dyDescent="0.3">
      <c r="A28" s="252" t="s">
        <v>21</v>
      </c>
      <c r="B28" s="253"/>
      <c r="C28" s="46">
        <v>5</v>
      </c>
    </row>
    <row r="29" spans="1:3" ht="16.5" thickBot="1" x14ac:dyDescent="0.3">
      <c r="A29" s="252" t="s">
        <v>22</v>
      </c>
      <c r="B29" s="253"/>
      <c r="C29" s="47">
        <f>C28*C27</f>
        <v>290</v>
      </c>
    </row>
  </sheetData>
  <mergeCells count="5">
    <mergeCell ref="B2:C2"/>
    <mergeCell ref="A26:B26"/>
    <mergeCell ref="A27:B27"/>
    <mergeCell ref="A28:B28"/>
    <mergeCell ref="A29:B29"/>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2557-6C0F-4A04-88A8-BF8C2E93B8E4}">
  <sheetPr>
    <tabColor theme="9" tint="0.79998168889431442"/>
  </sheetPr>
  <dimension ref="A1:C29"/>
  <sheetViews>
    <sheetView zoomScale="70" zoomScaleNormal="70"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252</v>
      </c>
      <c r="C2" s="252"/>
    </row>
    <row r="3" spans="1:3" ht="15.75" x14ac:dyDescent="0.25">
      <c r="A3" s="31"/>
      <c r="B3" s="32" t="s">
        <v>255</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242</v>
      </c>
      <c r="C11" s="36">
        <f>ROUND((12.97*4.17),2)</f>
        <v>54.08</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70.745989999999992</v>
      </c>
    </row>
    <row r="17" spans="1:3" ht="16.5" thickBot="1" x14ac:dyDescent="0.3">
      <c r="A17" s="130"/>
      <c r="B17" s="39" t="s">
        <v>8</v>
      </c>
      <c r="C17" s="103">
        <f>C16</f>
        <v>70.745989999999992</v>
      </c>
    </row>
    <row r="18" spans="1:3" ht="16.5" thickBot="1" x14ac:dyDescent="0.3">
      <c r="A18" s="34"/>
      <c r="B18" s="33" t="s">
        <v>9</v>
      </c>
      <c r="C18" s="36" t="s">
        <v>4</v>
      </c>
    </row>
    <row r="19" spans="1:3" ht="16.5" thickBot="1" x14ac:dyDescent="0.3">
      <c r="A19" s="33">
        <v>1100</v>
      </c>
      <c r="B19" s="131" t="s">
        <v>10</v>
      </c>
      <c r="C19" s="36">
        <v>2.29</v>
      </c>
    </row>
    <row r="20" spans="1:3" ht="16.5" thickBot="1" x14ac:dyDescent="0.3">
      <c r="A20" s="132">
        <v>2210</v>
      </c>
      <c r="B20" s="133" t="s">
        <v>11</v>
      </c>
      <c r="C20" s="92">
        <v>0.76</v>
      </c>
    </row>
    <row r="21" spans="1:3" ht="16.5" thickBot="1" x14ac:dyDescent="0.3">
      <c r="A21" s="134">
        <v>2242</v>
      </c>
      <c r="B21" s="135" t="s">
        <v>31</v>
      </c>
      <c r="C21" s="103">
        <v>1.1200000000000001</v>
      </c>
    </row>
    <row r="22" spans="1:3" ht="16.5" thickBot="1" x14ac:dyDescent="0.3">
      <c r="A22" s="136">
        <v>2310</v>
      </c>
      <c r="B22" s="137" t="s">
        <v>15</v>
      </c>
      <c r="C22" s="103">
        <v>1.45</v>
      </c>
    </row>
    <row r="23" spans="1:3" ht="16.5" thickBot="1" x14ac:dyDescent="0.3">
      <c r="A23" s="46">
        <v>5200</v>
      </c>
      <c r="B23" s="138" t="s">
        <v>201</v>
      </c>
      <c r="C23" s="103">
        <v>1.45</v>
      </c>
    </row>
    <row r="24" spans="1:3" ht="16.5" thickBot="1" x14ac:dyDescent="0.3">
      <c r="A24" s="58"/>
      <c r="B24" s="139" t="s">
        <v>17</v>
      </c>
      <c r="C24" s="36">
        <f>SUM(C19:C23)</f>
        <v>7.07</v>
      </c>
    </row>
    <row r="25" spans="1:3" ht="16.5" thickBot="1" x14ac:dyDescent="0.3">
      <c r="A25" s="33"/>
      <c r="B25" s="45" t="s">
        <v>18</v>
      </c>
      <c r="C25" s="36">
        <f>ROUND((C17+C24),2)</f>
        <v>77.819999999999993</v>
      </c>
    </row>
    <row r="26" spans="1:3" ht="16.5" thickBot="1" x14ac:dyDescent="0.3">
      <c r="A26" s="264" t="s">
        <v>19</v>
      </c>
      <c r="B26" s="265"/>
      <c r="C26" s="48">
        <v>1</v>
      </c>
    </row>
    <row r="27" spans="1:3" ht="16.5" thickBot="1" x14ac:dyDescent="0.3">
      <c r="A27" s="252" t="s">
        <v>20</v>
      </c>
      <c r="B27" s="253"/>
      <c r="C27" s="47">
        <f>C25</f>
        <v>77.819999999999993</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4514-84AD-4429-A675-B678BDC8DE73}">
  <sheetPr>
    <tabColor theme="9" tint="0.79998168889431442"/>
  </sheetPr>
  <dimension ref="A1:C28"/>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252</v>
      </c>
      <c r="C2" s="252"/>
    </row>
    <row r="3" spans="1:3" ht="15.75" x14ac:dyDescent="0.25">
      <c r="A3" s="31"/>
      <c r="B3" s="32" t="s">
        <v>256</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257</v>
      </c>
      <c r="C11" s="36">
        <f>ROUND((12.97*5.56),2)</f>
        <v>72.11</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88.775989999999979</v>
      </c>
    </row>
    <row r="17" spans="1:3" ht="16.5" thickBot="1" x14ac:dyDescent="0.3">
      <c r="A17" s="130"/>
      <c r="B17" s="39" t="s">
        <v>8</v>
      </c>
      <c r="C17" s="103">
        <f>C16</f>
        <v>88.775989999999979</v>
      </c>
    </row>
    <row r="18" spans="1:3" ht="16.5" thickBot="1" x14ac:dyDescent="0.3">
      <c r="A18" s="34"/>
      <c r="B18" s="33" t="s">
        <v>9</v>
      </c>
      <c r="C18" s="36" t="s">
        <v>4</v>
      </c>
    </row>
    <row r="19" spans="1:3" ht="16.5" thickBot="1" x14ac:dyDescent="0.3">
      <c r="A19" s="33">
        <v>1100</v>
      </c>
      <c r="B19" s="131" t="s">
        <v>10</v>
      </c>
      <c r="C19" s="36">
        <v>2.87</v>
      </c>
    </row>
    <row r="20" spans="1:3" ht="16.5" thickBot="1" x14ac:dyDescent="0.3">
      <c r="A20" s="132">
        <v>2210</v>
      </c>
      <c r="B20" s="133" t="s">
        <v>11</v>
      </c>
      <c r="C20" s="92">
        <v>0.96</v>
      </c>
    </row>
    <row r="21" spans="1:3" ht="16.5" thickBot="1" x14ac:dyDescent="0.3">
      <c r="A21" s="134">
        <v>2242</v>
      </c>
      <c r="B21" s="135" t="s">
        <v>31</v>
      </c>
      <c r="C21" s="103">
        <v>1.41</v>
      </c>
    </row>
    <row r="22" spans="1:3" ht="16.5" thickBot="1" x14ac:dyDescent="0.3">
      <c r="A22" s="136">
        <v>2310</v>
      </c>
      <c r="B22" s="137" t="s">
        <v>15</v>
      </c>
      <c r="C22" s="103">
        <v>1.81</v>
      </c>
    </row>
    <row r="23" spans="1:3" ht="16.5" thickBot="1" x14ac:dyDescent="0.3">
      <c r="A23" s="46">
        <v>5200</v>
      </c>
      <c r="B23" s="138" t="s">
        <v>201</v>
      </c>
      <c r="C23" s="103">
        <v>1.82</v>
      </c>
    </row>
    <row r="24" spans="1:3" ht="16.5" thickBot="1" x14ac:dyDescent="0.3">
      <c r="A24" s="58"/>
      <c r="B24" s="139" t="s">
        <v>17</v>
      </c>
      <c r="C24" s="36">
        <f>SUM(C19:C23)</f>
        <v>8.870000000000001</v>
      </c>
    </row>
    <row r="25" spans="1:3" ht="16.5" thickBot="1" x14ac:dyDescent="0.3">
      <c r="A25" s="33"/>
      <c r="B25" s="45" t="s">
        <v>18</v>
      </c>
      <c r="C25" s="36">
        <f>ROUND((C17+C24),2)</f>
        <v>97.65</v>
      </c>
    </row>
    <row r="26" spans="1:3" ht="16.5" thickBot="1" x14ac:dyDescent="0.3">
      <c r="A26" s="264" t="s">
        <v>19</v>
      </c>
      <c r="B26" s="265"/>
      <c r="C26" s="48">
        <v>1</v>
      </c>
    </row>
    <row r="27" spans="1:3" ht="16.5" thickBot="1" x14ac:dyDescent="0.3">
      <c r="A27" s="252" t="s">
        <v>20</v>
      </c>
      <c r="B27" s="253"/>
      <c r="C27" s="47">
        <f>C25</f>
        <v>97.65</v>
      </c>
    </row>
    <row r="28" spans="1:3" ht="16.5" thickBot="1" x14ac:dyDescent="0.3">
      <c r="A28" s="252" t="s">
        <v>21</v>
      </c>
      <c r="B28" s="253"/>
      <c r="C28" s="46">
        <v>0</v>
      </c>
    </row>
  </sheetData>
  <mergeCells count="4">
    <mergeCell ref="B2:C2"/>
    <mergeCell ref="A26:B26"/>
    <mergeCell ref="A27:B27"/>
    <mergeCell ref="A28:B28"/>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D35CB-B0BE-4126-B44B-B0A744B49C27}">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258</v>
      </c>
      <c r="C2" s="252"/>
    </row>
    <row r="3" spans="1:3" ht="15.75" x14ac:dyDescent="0.25">
      <c r="A3" s="31"/>
      <c r="B3" s="32" t="s">
        <v>259</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260</v>
      </c>
      <c r="C11" s="36">
        <f>ROUND((12.97*1.39),2)</f>
        <v>18.03</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34.695990000000002</v>
      </c>
    </row>
    <row r="17" spans="1:3" ht="16.5" thickBot="1" x14ac:dyDescent="0.3">
      <c r="A17" s="130"/>
      <c r="B17" s="39" t="s">
        <v>8</v>
      </c>
      <c r="C17" s="103">
        <f>C16</f>
        <v>34.695990000000002</v>
      </c>
    </row>
    <row r="18" spans="1:3" ht="16.5" thickBot="1" x14ac:dyDescent="0.3">
      <c r="A18" s="34"/>
      <c r="B18" s="33" t="s">
        <v>9</v>
      </c>
      <c r="C18" s="36" t="s">
        <v>4</v>
      </c>
    </row>
    <row r="19" spans="1:3" ht="16.5" thickBot="1" x14ac:dyDescent="0.3">
      <c r="A19" s="33">
        <v>1100</v>
      </c>
      <c r="B19" s="131" t="s">
        <v>10</v>
      </c>
      <c r="C19" s="36">
        <v>1.1200000000000001</v>
      </c>
    </row>
    <row r="20" spans="1:3" ht="16.5" thickBot="1" x14ac:dyDescent="0.3">
      <c r="A20" s="132">
        <v>2210</v>
      </c>
      <c r="B20" s="133" t="s">
        <v>11</v>
      </c>
      <c r="C20" s="92">
        <v>0.37</v>
      </c>
    </row>
    <row r="21" spans="1:3" ht="16.5" thickBot="1" x14ac:dyDescent="0.3">
      <c r="A21" s="134">
        <v>2242</v>
      </c>
      <c r="B21" s="135" t="s">
        <v>31</v>
      </c>
      <c r="C21" s="103">
        <v>0.55000000000000004</v>
      </c>
    </row>
    <row r="22" spans="1:3" ht="16.5" thickBot="1" x14ac:dyDescent="0.3">
      <c r="A22" s="136">
        <v>2310</v>
      </c>
      <c r="B22" s="137" t="s">
        <v>15</v>
      </c>
      <c r="C22" s="103">
        <v>0.71</v>
      </c>
    </row>
    <row r="23" spans="1:3" ht="16.5" thickBot="1" x14ac:dyDescent="0.3">
      <c r="A23" s="46">
        <v>5200</v>
      </c>
      <c r="B23" s="138" t="s">
        <v>201</v>
      </c>
      <c r="C23" s="103">
        <v>0.71</v>
      </c>
    </row>
    <row r="24" spans="1:3" ht="16.5" thickBot="1" x14ac:dyDescent="0.3">
      <c r="A24" s="58"/>
      <c r="B24" s="139" t="s">
        <v>17</v>
      </c>
      <c r="C24" s="36">
        <f>SUM(C19:C23)</f>
        <v>3.46</v>
      </c>
    </row>
    <row r="25" spans="1:3" ht="16.5" thickBot="1" x14ac:dyDescent="0.3">
      <c r="A25" s="33"/>
      <c r="B25" s="45" t="s">
        <v>18</v>
      </c>
      <c r="C25" s="36">
        <f>ROUND((C17+C24),2)</f>
        <v>38.159999999999997</v>
      </c>
    </row>
    <row r="26" spans="1:3" ht="16.5" thickBot="1" x14ac:dyDescent="0.3">
      <c r="A26" s="264" t="s">
        <v>19</v>
      </c>
      <c r="B26" s="265"/>
      <c r="C26" s="48">
        <v>1</v>
      </c>
    </row>
    <row r="27" spans="1:3" ht="16.5" thickBot="1" x14ac:dyDescent="0.3">
      <c r="A27" s="252" t="s">
        <v>20</v>
      </c>
      <c r="B27" s="253"/>
      <c r="C27" s="47">
        <f>C25</f>
        <v>38.159999999999997</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3999-F9F3-43F4-B8BC-2525D926D8FE}">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61.5" customHeight="1" x14ac:dyDescent="0.25">
      <c r="A2" s="31" t="s">
        <v>68</v>
      </c>
      <c r="B2" s="252" t="s">
        <v>258</v>
      </c>
      <c r="C2" s="252"/>
    </row>
    <row r="3" spans="1:3" ht="15.75" x14ac:dyDescent="0.25">
      <c r="A3" s="31"/>
      <c r="B3" s="32" t="s">
        <v>261</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262</v>
      </c>
      <c r="C11" s="36">
        <f>ROUND((12.97*2.08),2)</f>
        <v>26.98</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43.645989999999991</v>
      </c>
    </row>
    <row r="17" spans="1:3" ht="16.5" thickBot="1" x14ac:dyDescent="0.3">
      <c r="A17" s="130"/>
      <c r="B17" s="39" t="s">
        <v>8</v>
      </c>
      <c r="C17" s="103">
        <f>C16</f>
        <v>43.645989999999991</v>
      </c>
    </row>
    <row r="18" spans="1:3" ht="16.5" thickBot="1" x14ac:dyDescent="0.3">
      <c r="A18" s="34"/>
      <c r="B18" s="33" t="s">
        <v>9</v>
      </c>
      <c r="C18" s="36" t="s">
        <v>4</v>
      </c>
    </row>
    <row r="19" spans="1:3" ht="16.5" thickBot="1" x14ac:dyDescent="0.3">
      <c r="A19" s="33">
        <v>1100</v>
      </c>
      <c r="B19" s="131" t="s">
        <v>10</v>
      </c>
      <c r="C19" s="36">
        <v>1.41</v>
      </c>
    </row>
    <row r="20" spans="1:3" ht="16.5" thickBot="1" x14ac:dyDescent="0.3">
      <c r="A20" s="132">
        <v>2210</v>
      </c>
      <c r="B20" s="133" t="s">
        <v>11</v>
      </c>
      <c r="C20" s="92">
        <v>0.47</v>
      </c>
    </row>
    <row r="21" spans="1:3" ht="16.5" thickBot="1" x14ac:dyDescent="0.3">
      <c r="A21" s="134">
        <v>2242</v>
      </c>
      <c r="B21" s="135" t="s">
        <v>31</v>
      </c>
      <c r="C21" s="103">
        <v>0.69</v>
      </c>
    </row>
    <row r="22" spans="1:3" ht="16.5" thickBot="1" x14ac:dyDescent="0.3">
      <c r="A22" s="136">
        <v>2310</v>
      </c>
      <c r="B22" s="137" t="s">
        <v>15</v>
      </c>
      <c r="C22" s="103">
        <v>0.89</v>
      </c>
    </row>
    <row r="23" spans="1:3" ht="16.5" thickBot="1" x14ac:dyDescent="0.3">
      <c r="A23" s="46">
        <v>5200</v>
      </c>
      <c r="B23" s="138" t="s">
        <v>201</v>
      </c>
      <c r="C23" s="103">
        <v>0.9</v>
      </c>
    </row>
    <row r="24" spans="1:3" ht="16.5" thickBot="1" x14ac:dyDescent="0.3">
      <c r="A24" s="58"/>
      <c r="B24" s="139" t="s">
        <v>17</v>
      </c>
      <c r="C24" s="36">
        <f>SUM(C19:C23)</f>
        <v>4.3600000000000003</v>
      </c>
    </row>
    <row r="25" spans="1:3" ht="16.5" thickBot="1" x14ac:dyDescent="0.3">
      <c r="A25" s="33"/>
      <c r="B25" s="45" t="s">
        <v>18</v>
      </c>
      <c r="C25" s="36">
        <f>ROUND((C17+C24),2)</f>
        <v>48.01</v>
      </c>
    </row>
    <row r="26" spans="1:3" ht="16.5" thickBot="1" x14ac:dyDescent="0.3">
      <c r="A26" s="264" t="s">
        <v>19</v>
      </c>
      <c r="B26" s="265"/>
      <c r="C26" s="48">
        <v>1</v>
      </c>
    </row>
    <row r="27" spans="1:3" ht="16.5" thickBot="1" x14ac:dyDescent="0.3">
      <c r="A27" s="252" t="s">
        <v>20</v>
      </c>
      <c r="B27" s="253"/>
      <c r="C27" s="47">
        <f>C25</f>
        <v>48.01</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4740-152A-4D1A-9237-F2DAD306A387}">
  <sheetPr>
    <tabColor theme="9" tint="0.79998168889431442"/>
  </sheetPr>
  <dimension ref="A1:D58"/>
  <sheetViews>
    <sheetView topLeftCell="A37" zoomScaleNormal="100" workbookViewId="0">
      <selection activeCell="C59" sqref="C59"/>
    </sheetView>
  </sheetViews>
  <sheetFormatPr defaultRowHeight="15" x14ac:dyDescent="0.25"/>
  <cols>
    <col min="1" max="1" width="21.140625" bestFit="1" customWidth="1"/>
    <col min="2" max="2" width="155.42578125" customWidth="1"/>
    <col min="3" max="3" width="26.42578125" customWidth="1"/>
  </cols>
  <sheetData>
    <row r="1" spans="1:4" ht="15.75" x14ac:dyDescent="0.25">
      <c r="A1" s="28" t="s">
        <v>66</v>
      </c>
      <c r="B1" s="29" t="s">
        <v>67</v>
      </c>
      <c r="C1" s="30"/>
    </row>
    <row r="2" spans="1:4" ht="31.5" x14ac:dyDescent="0.25">
      <c r="A2" s="31" t="s">
        <v>68</v>
      </c>
      <c r="B2" s="252" t="s">
        <v>509</v>
      </c>
      <c r="C2" s="252"/>
    </row>
    <row r="3" spans="1:4" ht="15.75" x14ac:dyDescent="0.25">
      <c r="A3" s="31"/>
      <c r="B3" s="32" t="s">
        <v>537</v>
      </c>
      <c r="C3" s="32"/>
    </row>
    <row r="4" spans="1:4" ht="15.75" x14ac:dyDescent="0.25">
      <c r="A4" s="29"/>
      <c r="B4" s="32" t="s">
        <v>539</v>
      </c>
      <c r="C4" s="32"/>
    </row>
    <row r="5" spans="1:4" ht="15.75" x14ac:dyDescent="0.25">
      <c r="A5" s="31" t="s">
        <v>71</v>
      </c>
      <c r="B5" s="32" t="s">
        <v>203</v>
      </c>
      <c r="C5" s="32"/>
    </row>
    <row r="8" spans="1:4" ht="63" x14ac:dyDescent="0.25">
      <c r="A8" s="112" t="s">
        <v>0</v>
      </c>
      <c r="B8" s="112" t="s">
        <v>1</v>
      </c>
      <c r="C8" s="112" t="s">
        <v>2</v>
      </c>
    </row>
    <row r="9" spans="1:4" ht="15.75" x14ac:dyDescent="0.25">
      <c r="A9" s="112">
        <v>1</v>
      </c>
      <c r="B9" s="112">
        <v>2</v>
      </c>
      <c r="C9" s="112">
        <v>3</v>
      </c>
    </row>
    <row r="10" spans="1:4" ht="15.75" x14ac:dyDescent="0.25">
      <c r="A10" s="113"/>
      <c r="B10" s="112" t="s">
        <v>3</v>
      </c>
      <c r="C10" s="112" t="s">
        <v>4</v>
      </c>
    </row>
    <row r="11" spans="1:4" ht="15.75" x14ac:dyDescent="0.25">
      <c r="A11" s="123"/>
      <c r="B11" s="123" t="s">
        <v>512</v>
      </c>
      <c r="C11" s="123"/>
    </row>
    <row r="12" spans="1:4" ht="94.5" x14ac:dyDescent="0.25">
      <c r="A12" s="93">
        <v>1100</v>
      </c>
      <c r="B12" s="94" t="s">
        <v>513</v>
      </c>
      <c r="C12" s="115">
        <f>ROUND((10*0.083),2)</f>
        <v>0.83</v>
      </c>
    </row>
    <row r="13" spans="1:4" ht="78.75" x14ac:dyDescent="0.25">
      <c r="A13" s="93">
        <v>1100</v>
      </c>
      <c r="B13" s="94" t="s">
        <v>514</v>
      </c>
      <c r="C13" s="119">
        <f>10*1</f>
        <v>10</v>
      </c>
      <c r="D13" s="171"/>
    </row>
    <row r="14" spans="1:4" ht="78.75" x14ac:dyDescent="0.25">
      <c r="A14" s="93">
        <v>1100</v>
      </c>
      <c r="B14" s="94" t="s">
        <v>515</v>
      </c>
      <c r="C14" s="115">
        <f>ROUND((10*0.667),2)</f>
        <v>6.67</v>
      </c>
    </row>
    <row r="15" spans="1:4" ht="15.75" x14ac:dyDescent="0.25">
      <c r="A15" s="93">
        <v>2322</v>
      </c>
      <c r="B15" s="94" t="s">
        <v>516</v>
      </c>
      <c r="C15" s="115">
        <v>7.79</v>
      </c>
    </row>
    <row r="16" spans="1:4" ht="15.75" x14ac:dyDescent="0.25">
      <c r="A16" s="93">
        <v>2310</v>
      </c>
      <c r="B16" s="94" t="s">
        <v>517</v>
      </c>
      <c r="C16" s="115">
        <v>1.37</v>
      </c>
    </row>
    <row r="17" spans="1:3" ht="15.75" x14ac:dyDescent="0.25">
      <c r="A17" s="93"/>
      <c r="B17" s="118" t="s">
        <v>518</v>
      </c>
      <c r="C17" s="115">
        <f>SUM(C12:C16)</f>
        <v>26.66</v>
      </c>
    </row>
    <row r="18" spans="1:3" ht="15.75" x14ac:dyDescent="0.25">
      <c r="A18" s="93"/>
      <c r="B18" s="94" t="s">
        <v>519</v>
      </c>
      <c r="C18" s="115"/>
    </row>
    <row r="19" spans="1:3" ht="94.5" x14ac:dyDescent="0.25">
      <c r="A19" s="93">
        <v>1100</v>
      </c>
      <c r="B19" s="114" t="s">
        <v>189</v>
      </c>
      <c r="C19" s="115">
        <f>ROUND((9.63*0.25),2)</f>
        <v>2.41</v>
      </c>
    </row>
    <row r="20" spans="1:3" ht="15.75" x14ac:dyDescent="0.25">
      <c r="A20" s="93">
        <v>2341</v>
      </c>
      <c r="B20" s="114" t="s">
        <v>190</v>
      </c>
      <c r="C20" s="112">
        <v>3.3</v>
      </c>
    </row>
    <row r="21" spans="1:3" ht="15.75" x14ac:dyDescent="0.25">
      <c r="A21" s="116">
        <v>2239</v>
      </c>
      <c r="B21" s="117" t="s">
        <v>191</v>
      </c>
      <c r="C21" s="112">
        <v>0.23</v>
      </c>
    </row>
    <row r="22" spans="1:3" ht="15.75" x14ac:dyDescent="0.25">
      <c r="A22" s="113"/>
      <c r="B22" s="118" t="s">
        <v>39</v>
      </c>
      <c r="C22" s="119">
        <f>SUM(C19:C21)</f>
        <v>5.94</v>
      </c>
    </row>
    <row r="23" spans="1:3" ht="15.75" x14ac:dyDescent="0.25">
      <c r="A23" s="113"/>
      <c r="B23" s="94" t="s">
        <v>520</v>
      </c>
      <c r="C23" s="120"/>
    </row>
    <row r="24" spans="1:3" ht="15.75" x14ac:dyDescent="0.25">
      <c r="A24" s="113"/>
      <c r="B24" s="121" t="s">
        <v>192</v>
      </c>
      <c r="C24" s="120"/>
    </row>
    <row r="25" spans="1:3" ht="94.5" x14ac:dyDescent="0.25">
      <c r="A25" s="93">
        <v>1100</v>
      </c>
      <c r="B25" s="94" t="s">
        <v>532</v>
      </c>
      <c r="C25" s="119">
        <f>ROUND((9.63*0.5),2)</f>
        <v>4.82</v>
      </c>
    </row>
    <row r="26" spans="1:3" ht="15.75" x14ac:dyDescent="0.25">
      <c r="A26" s="93">
        <v>2341</v>
      </c>
      <c r="B26" s="94" t="s">
        <v>221</v>
      </c>
      <c r="C26" s="120">
        <v>0.38</v>
      </c>
    </row>
    <row r="27" spans="1:3" ht="15.75" x14ac:dyDescent="0.25">
      <c r="A27" s="93"/>
      <c r="B27" s="147" t="s">
        <v>204</v>
      </c>
      <c r="C27" s="120"/>
    </row>
    <row r="28" spans="1:3" ht="94.5" x14ac:dyDescent="0.25">
      <c r="A28" s="93">
        <v>1100</v>
      </c>
      <c r="B28" s="94" t="s">
        <v>227</v>
      </c>
      <c r="C28" s="120">
        <f>ROUND((9.63*1.5),2)</f>
        <v>14.45</v>
      </c>
    </row>
    <row r="29" spans="1:3" ht="15.75" x14ac:dyDescent="0.25">
      <c r="A29" s="93">
        <v>2341</v>
      </c>
      <c r="B29" s="94" t="s">
        <v>194</v>
      </c>
      <c r="C29" s="120">
        <v>0.19</v>
      </c>
    </row>
    <row r="30" spans="1:3" ht="15.75" x14ac:dyDescent="0.25">
      <c r="A30" s="93"/>
      <c r="B30" s="122" t="s">
        <v>195</v>
      </c>
      <c r="C30" s="120"/>
    </row>
    <row r="31" spans="1:3" ht="94.5" x14ac:dyDescent="0.25">
      <c r="A31" s="93">
        <v>1100</v>
      </c>
      <c r="B31" s="94" t="s">
        <v>533</v>
      </c>
      <c r="C31" s="119">
        <f>ROUND((9.63*0.75),2)</f>
        <v>7.22</v>
      </c>
    </row>
    <row r="32" spans="1:3" ht="15.75" x14ac:dyDescent="0.25">
      <c r="A32" s="93">
        <v>2341</v>
      </c>
      <c r="B32" s="94" t="s">
        <v>194</v>
      </c>
      <c r="C32" s="120">
        <v>2.9</v>
      </c>
    </row>
    <row r="33" spans="1:3" ht="15.75" x14ac:dyDescent="0.25">
      <c r="A33" s="93"/>
      <c r="B33" s="122" t="s">
        <v>197</v>
      </c>
      <c r="C33" s="120"/>
    </row>
    <row r="34" spans="1:3" ht="94.5" x14ac:dyDescent="0.25">
      <c r="A34" s="93">
        <v>1100</v>
      </c>
      <c r="B34" s="94" t="s">
        <v>534</v>
      </c>
      <c r="C34" s="120">
        <f>ROUND((9.63*0.133),2)</f>
        <v>1.28</v>
      </c>
    </row>
    <row r="35" spans="1:3" ht="15.75" x14ac:dyDescent="0.25">
      <c r="A35" s="93"/>
      <c r="B35" s="121" t="s">
        <v>78</v>
      </c>
      <c r="C35" s="120"/>
    </row>
    <row r="36" spans="1:3" ht="94.5" x14ac:dyDescent="0.25">
      <c r="A36" s="93">
        <v>1100</v>
      </c>
      <c r="B36" s="94" t="s">
        <v>535</v>
      </c>
      <c r="C36" s="119">
        <f>ROUND((9.63*0.333),2)</f>
        <v>3.21</v>
      </c>
    </row>
    <row r="37" spans="1:3" ht="15.75" x14ac:dyDescent="0.25">
      <c r="A37" s="93"/>
      <c r="B37" s="118" t="s">
        <v>199</v>
      </c>
      <c r="C37" s="119">
        <f>SUM(C25:C36)</f>
        <v>34.449999999999996</v>
      </c>
    </row>
    <row r="38" spans="1:3" ht="15.75" x14ac:dyDescent="0.25">
      <c r="A38" s="123"/>
      <c r="B38" s="123" t="s">
        <v>523</v>
      </c>
      <c r="C38" s="120"/>
    </row>
    <row r="39" spans="1:3" ht="94.5" x14ac:dyDescent="0.25">
      <c r="A39" s="93">
        <v>1100</v>
      </c>
      <c r="B39" s="94" t="s">
        <v>200</v>
      </c>
      <c r="C39" s="119">
        <f>ROUND((12.97*0.083),2)</f>
        <v>1.08</v>
      </c>
    </row>
    <row r="40" spans="1:3" ht="15.75" x14ac:dyDescent="0.25">
      <c r="A40" s="113"/>
      <c r="B40" s="118" t="s">
        <v>55</v>
      </c>
      <c r="C40" s="119">
        <f>C39</f>
        <v>1.08</v>
      </c>
    </row>
    <row r="41" spans="1:3" ht="15.75" x14ac:dyDescent="0.25">
      <c r="A41" s="113"/>
      <c r="B41" s="118" t="s">
        <v>8</v>
      </c>
      <c r="C41" s="119">
        <f>SUM(C17,C22,C37,C40)</f>
        <v>68.13</v>
      </c>
    </row>
    <row r="42" spans="1:3" ht="15.75" x14ac:dyDescent="0.25">
      <c r="A42" s="113"/>
      <c r="B42" s="112" t="s">
        <v>9</v>
      </c>
      <c r="C42" s="112" t="s">
        <v>4</v>
      </c>
    </row>
    <row r="43" spans="1:3" ht="15.75" x14ac:dyDescent="0.25">
      <c r="A43" s="112">
        <v>1100</v>
      </c>
      <c r="B43" s="124" t="s">
        <v>10</v>
      </c>
      <c r="C43" s="115">
        <v>0.65</v>
      </c>
    </row>
    <row r="44" spans="1:3" ht="15.75" x14ac:dyDescent="0.25">
      <c r="A44" s="125">
        <v>2210</v>
      </c>
      <c r="B44" s="126" t="s">
        <v>11</v>
      </c>
      <c r="C44" s="120">
        <v>0.22</v>
      </c>
    </row>
    <row r="45" spans="1:3" ht="15.75" x14ac:dyDescent="0.25">
      <c r="A45" s="125">
        <v>2220</v>
      </c>
      <c r="B45" s="126" t="s">
        <v>12</v>
      </c>
      <c r="C45" s="112">
        <v>0.84</v>
      </c>
    </row>
    <row r="46" spans="1:3" ht="15.75" x14ac:dyDescent="0.25">
      <c r="A46" s="125">
        <v>2240</v>
      </c>
      <c r="B46" s="126" t="s">
        <v>56</v>
      </c>
      <c r="C46" s="112">
        <v>2.23</v>
      </c>
    </row>
    <row r="47" spans="1:3" ht="15.75" x14ac:dyDescent="0.25">
      <c r="A47" s="125">
        <v>2310</v>
      </c>
      <c r="B47" s="126" t="s">
        <v>15</v>
      </c>
      <c r="C47" s="115">
        <v>0.41</v>
      </c>
    </row>
    <row r="48" spans="1:3" ht="15.75" x14ac:dyDescent="0.25">
      <c r="A48" s="120">
        <v>5200</v>
      </c>
      <c r="B48" s="127" t="s">
        <v>201</v>
      </c>
      <c r="C48" s="115">
        <v>0.41</v>
      </c>
    </row>
    <row r="49" spans="1:4" ht="15.75" x14ac:dyDescent="0.25">
      <c r="A49" s="113"/>
      <c r="B49" s="118" t="s">
        <v>17</v>
      </c>
      <c r="C49" s="115">
        <f>SUM(C43:C48)</f>
        <v>4.76</v>
      </c>
    </row>
    <row r="50" spans="1:4" ht="15.75" x14ac:dyDescent="0.25">
      <c r="A50" s="112"/>
      <c r="B50" s="128" t="s">
        <v>18</v>
      </c>
      <c r="C50" s="115">
        <f>SUM(C41,C49)</f>
        <v>72.89</v>
      </c>
      <c r="D50" s="171"/>
    </row>
    <row r="51" spans="1:4" ht="15.75" x14ac:dyDescent="0.25">
      <c r="A51" s="258" t="s">
        <v>19</v>
      </c>
      <c r="B51" s="258"/>
      <c r="C51" s="120">
        <v>1</v>
      </c>
    </row>
    <row r="52" spans="1:4" ht="15.75" x14ac:dyDescent="0.25">
      <c r="A52" s="258" t="s">
        <v>20</v>
      </c>
      <c r="B52" s="258"/>
      <c r="C52" s="119">
        <f>C50</f>
        <v>72.89</v>
      </c>
    </row>
    <row r="53" spans="1:4" ht="15.75" x14ac:dyDescent="0.25">
      <c r="A53" s="258" t="s">
        <v>21</v>
      </c>
      <c r="B53" s="258"/>
      <c r="C53" s="120">
        <v>541</v>
      </c>
    </row>
    <row r="54" spans="1:4" ht="15.75" x14ac:dyDescent="0.25">
      <c r="A54" s="258" t="s">
        <v>22</v>
      </c>
      <c r="B54" s="258"/>
      <c r="C54" s="119">
        <f>C53*C52</f>
        <v>39433.49</v>
      </c>
    </row>
    <row r="55" spans="1:4" ht="15.75" x14ac:dyDescent="0.25">
      <c r="C55" s="246">
        <v>40.74</v>
      </c>
    </row>
    <row r="56" spans="1:4" ht="15.75" x14ac:dyDescent="0.25">
      <c r="C56" s="245">
        <v>541</v>
      </c>
    </row>
    <row r="57" spans="1:4" ht="15.75" x14ac:dyDescent="0.25">
      <c r="C57" s="245">
        <f>C55*C56</f>
        <v>22040.34</v>
      </c>
    </row>
    <row r="58" spans="1:4" ht="45" x14ac:dyDescent="0.25">
      <c r="B58" s="251" t="s">
        <v>707</v>
      </c>
    </row>
  </sheetData>
  <mergeCells count="5">
    <mergeCell ref="B2:C2"/>
    <mergeCell ref="A51:B51"/>
    <mergeCell ref="A52:B52"/>
    <mergeCell ref="A53:B53"/>
    <mergeCell ref="A54:B5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EE9F-50F4-4BF8-87CB-348B17F52BC2}">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63" customHeight="1" x14ac:dyDescent="0.25">
      <c r="A2" s="31" t="s">
        <v>68</v>
      </c>
      <c r="B2" s="252" t="s">
        <v>258</v>
      </c>
      <c r="C2" s="252"/>
    </row>
    <row r="3" spans="1:3" ht="15.75" x14ac:dyDescent="0.25">
      <c r="A3" s="31"/>
      <c r="B3" s="32" t="s">
        <v>263</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254</v>
      </c>
      <c r="C11" s="36">
        <f>ROUND((12.97*2.78),2)</f>
        <v>36.06</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52.725990000000003</v>
      </c>
    </row>
    <row r="17" spans="1:3" ht="16.5" thickBot="1" x14ac:dyDescent="0.3">
      <c r="A17" s="130"/>
      <c r="B17" s="39" t="s">
        <v>8</v>
      </c>
      <c r="C17" s="103">
        <f>C16</f>
        <v>52.725990000000003</v>
      </c>
    </row>
    <row r="18" spans="1:3" ht="16.5" thickBot="1" x14ac:dyDescent="0.3">
      <c r="A18" s="34"/>
      <c r="B18" s="33" t="s">
        <v>9</v>
      </c>
      <c r="C18" s="36" t="s">
        <v>4</v>
      </c>
    </row>
    <row r="19" spans="1:3" ht="16.5" thickBot="1" x14ac:dyDescent="0.3">
      <c r="A19" s="33">
        <v>1100</v>
      </c>
      <c r="B19" s="131" t="s">
        <v>10</v>
      </c>
      <c r="C19" s="36">
        <v>1.7</v>
      </c>
    </row>
    <row r="20" spans="1:3" ht="16.5" thickBot="1" x14ac:dyDescent="0.3">
      <c r="A20" s="132">
        <v>2210</v>
      </c>
      <c r="B20" s="133" t="s">
        <v>11</v>
      </c>
      <c r="C20" s="92">
        <v>0.56999999999999995</v>
      </c>
    </row>
    <row r="21" spans="1:3" ht="16.5" thickBot="1" x14ac:dyDescent="0.3">
      <c r="A21" s="134">
        <v>2242</v>
      </c>
      <c r="B21" s="135" t="s">
        <v>31</v>
      </c>
      <c r="C21" s="103">
        <v>0.84</v>
      </c>
    </row>
    <row r="22" spans="1:3" ht="16.5" thickBot="1" x14ac:dyDescent="0.3">
      <c r="A22" s="136">
        <v>2310</v>
      </c>
      <c r="B22" s="137" t="s">
        <v>15</v>
      </c>
      <c r="C22" s="103">
        <v>1.08</v>
      </c>
    </row>
    <row r="23" spans="1:3" ht="16.5" thickBot="1" x14ac:dyDescent="0.3">
      <c r="A23" s="46">
        <v>5200</v>
      </c>
      <c r="B23" s="138" t="s">
        <v>201</v>
      </c>
      <c r="C23" s="103">
        <v>1.08</v>
      </c>
    </row>
    <row r="24" spans="1:3" ht="16.5" thickBot="1" x14ac:dyDescent="0.3">
      <c r="A24" s="58"/>
      <c r="B24" s="139" t="s">
        <v>17</v>
      </c>
      <c r="C24" s="36">
        <f>SUM(C19:C23)</f>
        <v>5.27</v>
      </c>
    </row>
    <row r="25" spans="1:3" ht="16.5" thickBot="1" x14ac:dyDescent="0.3">
      <c r="A25" s="33"/>
      <c r="B25" s="45" t="s">
        <v>18</v>
      </c>
      <c r="C25" s="36">
        <f>ROUND((C17+C24),2)</f>
        <v>58</v>
      </c>
    </row>
    <row r="26" spans="1:3" ht="16.5" thickBot="1" x14ac:dyDescent="0.3">
      <c r="A26" s="264" t="s">
        <v>19</v>
      </c>
      <c r="B26" s="265"/>
      <c r="C26" s="48">
        <v>1</v>
      </c>
    </row>
    <row r="27" spans="1:3" ht="16.5" thickBot="1" x14ac:dyDescent="0.3">
      <c r="A27" s="252" t="s">
        <v>20</v>
      </c>
      <c r="B27" s="253"/>
      <c r="C27" s="47">
        <f>C25</f>
        <v>58</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DACB-1B92-4E13-A02D-3B4CAFAF69A4}">
  <sheetPr>
    <tabColor theme="9" tint="0.79998168889431442"/>
  </sheetPr>
  <dimension ref="A1:C29"/>
  <sheetViews>
    <sheetView zoomScale="70" zoomScaleNormal="70"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64.5" customHeight="1" x14ac:dyDescent="0.25">
      <c r="A2" s="31" t="s">
        <v>68</v>
      </c>
      <c r="B2" s="252" t="s">
        <v>258</v>
      </c>
      <c r="C2" s="252"/>
    </row>
    <row r="3" spans="1:3" ht="15.75" x14ac:dyDescent="0.25">
      <c r="A3" s="31"/>
      <c r="B3" s="32" t="s">
        <v>264</v>
      </c>
      <c r="C3" s="32"/>
    </row>
    <row r="4" spans="1:3" ht="15.75" x14ac:dyDescent="0.25">
      <c r="A4" s="31" t="s">
        <v>71</v>
      </c>
      <c r="B4" s="29" t="s">
        <v>187</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241</v>
      </c>
      <c r="C10" s="33"/>
    </row>
    <row r="11" spans="1:3" ht="79.5" thickBot="1" x14ac:dyDescent="0.3">
      <c r="A11" s="38">
        <v>1100</v>
      </c>
      <c r="B11" s="37" t="s">
        <v>265</v>
      </c>
      <c r="C11" s="36">
        <f>ROUND((12.97*3.47),2)</f>
        <v>45.01</v>
      </c>
    </row>
    <row r="12" spans="1:3" ht="79.5" thickBot="1" x14ac:dyDescent="0.3">
      <c r="A12" s="38">
        <v>1100</v>
      </c>
      <c r="B12" s="37" t="s">
        <v>243</v>
      </c>
      <c r="C12" s="36">
        <f>12.97*0.667</f>
        <v>8.6509900000000002</v>
      </c>
    </row>
    <row r="13" spans="1:3" ht="48" thickBot="1" x14ac:dyDescent="0.3">
      <c r="A13" s="33">
        <v>2322</v>
      </c>
      <c r="B13" s="37" t="s">
        <v>244</v>
      </c>
      <c r="C13" s="36">
        <f>4.5*1.73</f>
        <v>7.7850000000000001</v>
      </c>
    </row>
    <row r="14" spans="1:3" ht="16.5" thickBot="1" x14ac:dyDescent="0.3">
      <c r="A14" s="33">
        <v>2310</v>
      </c>
      <c r="B14" s="37" t="s">
        <v>245</v>
      </c>
      <c r="C14" s="36">
        <v>0.16</v>
      </c>
    </row>
    <row r="15" spans="1:3" ht="16.5" thickBot="1" x14ac:dyDescent="0.3">
      <c r="A15" s="33">
        <v>2210</v>
      </c>
      <c r="B15" s="37" t="s">
        <v>246</v>
      </c>
      <c r="C15" s="36">
        <v>7.0000000000000007E-2</v>
      </c>
    </row>
    <row r="16" spans="1:3" ht="16.5" thickBot="1" x14ac:dyDescent="0.3">
      <c r="A16" s="34"/>
      <c r="B16" s="39" t="s">
        <v>247</v>
      </c>
      <c r="C16" s="36">
        <f>SUM(C11:C15)</f>
        <v>61.675989999999992</v>
      </c>
    </row>
    <row r="17" spans="1:3" ht="16.5" thickBot="1" x14ac:dyDescent="0.3">
      <c r="A17" s="130"/>
      <c r="B17" s="39" t="s">
        <v>8</v>
      </c>
      <c r="C17" s="103">
        <f>C16</f>
        <v>61.675989999999992</v>
      </c>
    </row>
    <row r="18" spans="1:3" ht="16.5" thickBot="1" x14ac:dyDescent="0.3">
      <c r="A18" s="34"/>
      <c r="B18" s="33" t="s">
        <v>9</v>
      </c>
      <c r="C18" s="36" t="s">
        <v>4</v>
      </c>
    </row>
    <row r="19" spans="1:3" ht="16.5" thickBot="1" x14ac:dyDescent="0.3">
      <c r="A19" s="33">
        <v>1100</v>
      </c>
      <c r="B19" s="131" t="s">
        <v>10</v>
      </c>
      <c r="C19" s="36">
        <v>2</v>
      </c>
    </row>
    <row r="20" spans="1:3" ht="16.5" thickBot="1" x14ac:dyDescent="0.3">
      <c r="A20" s="132">
        <v>2210</v>
      </c>
      <c r="B20" s="133" t="s">
        <v>11</v>
      </c>
      <c r="C20" s="92">
        <v>0.67</v>
      </c>
    </row>
    <row r="21" spans="1:3" ht="16.5" thickBot="1" x14ac:dyDescent="0.3">
      <c r="A21" s="134">
        <v>2242</v>
      </c>
      <c r="B21" s="135" t="s">
        <v>31</v>
      </c>
      <c r="C21" s="103">
        <v>0.98</v>
      </c>
    </row>
    <row r="22" spans="1:3" ht="16.5" thickBot="1" x14ac:dyDescent="0.3">
      <c r="A22" s="136">
        <v>2310</v>
      </c>
      <c r="B22" s="137" t="s">
        <v>15</v>
      </c>
      <c r="C22" s="103">
        <v>1.26</v>
      </c>
    </row>
    <row r="23" spans="1:3" ht="16.5" thickBot="1" x14ac:dyDescent="0.3">
      <c r="A23" s="46">
        <v>5200</v>
      </c>
      <c r="B23" s="138" t="s">
        <v>201</v>
      </c>
      <c r="C23" s="103">
        <v>1.27</v>
      </c>
    </row>
    <row r="24" spans="1:3" ht="16.5" thickBot="1" x14ac:dyDescent="0.3">
      <c r="A24" s="58"/>
      <c r="B24" s="139" t="s">
        <v>17</v>
      </c>
      <c r="C24" s="36">
        <f>SUM(C19:C23)</f>
        <v>6.18</v>
      </c>
    </row>
    <row r="25" spans="1:3" ht="16.5" thickBot="1" x14ac:dyDescent="0.3">
      <c r="A25" s="33"/>
      <c r="B25" s="45" t="s">
        <v>18</v>
      </c>
      <c r="C25" s="36">
        <f>ROUND((C17+C24),2)</f>
        <v>67.86</v>
      </c>
    </row>
    <row r="26" spans="1:3" ht="16.5" thickBot="1" x14ac:dyDescent="0.3">
      <c r="A26" s="264" t="s">
        <v>19</v>
      </c>
      <c r="B26" s="265"/>
      <c r="C26" s="48">
        <v>1</v>
      </c>
    </row>
    <row r="27" spans="1:3" ht="16.5" thickBot="1" x14ac:dyDescent="0.3">
      <c r="A27" s="252" t="s">
        <v>20</v>
      </c>
      <c r="B27" s="253"/>
      <c r="C27" s="47">
        <f>C25</f>
        <v>67.86</v>
      </c>
    </row>
    <row r="28" spans="1:3" ht="16.5" thickBot="1" x14ac:dyDescent="0.3">
      <c r="A28" s="252" t="s">
        <v>21</v>
      </c>
      <c r="B28" s="253"/>
      <c r="C28" s="46">
        <v>0</v>
      </c>
    </row>
    <row r="29" spans="1:3" ht="16.5" thickBot="1" x14ac:dyDescent="0.3">
      <c r="A29" s="252" t="s">
        <v>22</v>
      </c>
      <c r="B29" s="253"/>
      <c r="C29" s="47">
        <f>C28*C27</f>
        <v>0</v>
      </c>
    </row>
  </sheetData>
  <mergeCells count="5">
    <mergeCell ref="B2:C2"/>
    <mergeCell ref="A26:B26"/>
    <mergeCell ref="A27:B27"/>
    <mergeCell ref="A28:B28"/>
    <mergeCell ref="A29:B29"/>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896D-7C8B-455C-B2FC-6B229B27AE90}">
  <sheetPr>
    <tabColor theme="9" tint="0.79998168889431442"/>
  </sheetPr>
  <dimension ref="A1:C31"/>
  <sheetViews>
    <sheetView zoomScale="70" zoomScaleNormal="70" workbookViewId="0">
      <selection activeCell="A7" sqref="A7"/>
    </sheetView>
  </sheetViews>
  <sheetFormatPr defaultRowHeight="15" x14ac:dyDescent="0.25"/>
  <cols>
    <col min="1" max="1" width="21.140625" bestFit="1" customWidth="1"/>
    <col min="2" max="2" width="132.5703125" customWidth="1"/>
    <col min="3" max="3" width="26.42578125" customWidth="1"/>
  </cols>
  <sheetData>
    <row r="1" spans="1:3" ht="15.75" x14ac:dyDescent="0.25">
      <c r="A1" s="28" t="s">
        <v>66</v>
      </c>
      <c r="B1" s="29" t="s">
        <v>67</v>
      </c>
      <c r="C1" s="30"/>
    </row>
    <row r="2" spans="1:3" ht="31.5" x14ac:dyDescent="0.25">
      <c r="A2" s="31" t="s">
        <v>68</v>
      </c>
      <c r="B2" s="252" t="s">
        <v>626</v>
      </c>
      <c r="C2" s="252"/>
    </row>
    <row r="3" spans="1:3" ht="15.75" x14ac:dyDescent="0.25">
      <c r="A3" s="31"/>
      <c r="B3" s="32" t="s">
        <v>627</v>
      </c>
      <c r="C3" s="32"/>
    </row>
    <row r="4" spans="1:3" ht="15.75" x14ac:dyDescent="0.25">
      <c r="A4" s="31" t="s">
        <v>71</v>
      </c>
      <c r="B4" s="29" t="s">
        <v>187</v>
      </c>
      <c r="C4" s="30"/>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188</v>
      </c>
      <c r="C10" s="33"/>
    </row>
    <row r="11" spans="1:3" ht="95.25" thickBot="1" x14ac:dyDescent="0.3">
      <c r="A11" s="38">
        <v>1100</v>
      </c>
      <c r="B11" s="37" t="s">
        <v>628</v>
      </c>
      <c r="C11" s="36">
        <f>12.97*0.5</f>
        <v>6.4850000000000003</v>
      </c>
    </row>
    <row r="12" spans="1:3" ht="16.5" thickBot="1" x14ac:dyDescent="0.3">
      <c r="A12" s="38">
        <v>2341</v>
      </c>
      <c r="B12" s="35" t="s">
        <v>190</v>
      </c>
      <c r="C12" s="33">
        <v>3.05</v>
      </c>
    </row>
    <row r="13" spans="1:3" ht="16.5" thickBot="1" x14ac:dyDescent="0.3">
      <c r="A13" s="38">
        <v>2250</v>
      </c>
      <c r="B13" s="59" t="s">
        <v>28</v>
      </c>
      <c r="C13" s="33">
        <v>0.92</v>
      </c>
    </row>
    <row r="14" spans="1:3" ht="16.5" thickBot="1" x14ac:dyDescent="0.3">
      <c r="A14" s="34"/>
      <c r="B14" s="61" t="s">
        <v>39</v>
      </c>
      <c r="C14" s="92">
        <f>SUM(C11:C13)</f>
        <v>10.455</v>
      </c>
    </row>
    <row r="15" spans="1:3" ht="16.5" thickBot="1" x14ac:dyDescent="0.3">
      <c r="A15" s="217"/>
      <c r="B15" s="217" t="s">
        <v>629</v>
      </c>
      <c r="C15" s="92"/>
    </row>
    <row r="16" spans="1:3" ht="95.25" thickBot="1" x14ac:dyDescent="0.3">
      <c r="A16" s="38">
        <v>1100</v>
      </c>
      <c r="B16" s="37" t="s">
        <v>630</v>
      </c>
      <c r="C16" s="92">
        <v>3.24</v>
      </c>
    </row>
    <row r="17" spans="1:3" ht="16.5" thickBot="1" x14ac:dyDescent="0.3">
      <c r="A17" s="34"/>
      <c r="B17" s="39" t="s">
        <v>55</v>
      </c>
      <c r="C17" s="92">
        <f>C16</f>
        <v>3.24</v>
      </c>
    </row>
    <row r="18" spans="1:3" ht="16.5" thickBot="1" x14ac:dyDescent="0.3">
      <c r="A18" s="34"/>
      <c r="B18" s="39" t="s">
        <v>8</v>
      </c>
      <c r="C18" s="92">
        <f>SUM(C14,C17)</f>
        <v>13.695</v>
      </c>
    </row>
    <row r="19" spans="1:3" ht="16.5" thickBot="1" x14ac:dyDescent="0.3">
      <c r="A19" s="34"/>
      <c r="B19" s="33" t="s">
        <v>9</v>
      </c>
      <c r="C19" s="36" t="s">
        <v>4</v>
      </c>
    </row>
    <row r="20" spans="1:3" ht="16.5" thickBot="1" x14ac:dyDescent="0.3">
      <c r="A20" s="33">
        <v>1100</v>
      </c>
      <c r="B20" s="131" t="s">
        <v>10</v>
      </c>
      <c r="C20" s="36">
        <v>0.37</v>
      </c>
    </row>
    <row r="21" spans="1:3" ht="16.5" thickBot="1" x14ac:dyDescent="0.3">
      <c r="A21" s="140">
        <v>2210</v>
      </c>
      <c r="B21" s="141" t="s">
        <v>11</v>
      </c>
      <c r="C21" s="92">
        <v>0.05</v>
      </c>
    </row>
    <row r="22" spans="1:3" ht="16.5" thickBot="1" x14ac:dyDescent="0.3">
      <c r="A22" s="140">
        <v>2220</v>
      </c>
      <c r="B22" s="141" t="s">
        <v>12</v>
      </c>
      <c r="C22" s="36">
        <v>0.2</v>
      </c>
    </row>
    <row r="23" spans="1:3" ht="16.5" thickBot="1" x14ac:dyDescent="0.3">
      <c r="A23" s="140">
        <v>2240</v>
      </c>
      <c r="B23" s="141" t="s">
        <v>56</v>
      </c>
      <c r="C23" s="36">
        <v>0.54</v>
      </c>
    </row>
    <row r="24" spans="1:3" ht="16.5" thickBot="1" x14ac:dyDescent="0.3">
      <c r="A24" s="140">
        <v>2310</v>
      </c>
      <c r="B24" s="141" t="s">
        <v>15</v>
      </c>
      <c r="C24" s="36">
        <v>0.1</v>
      </c>
    </row>
    <row r="25" spans="1:3" ht="16.5" thickBot="1" x14ac:dyDescent="0.3">
      <c r="A25" s="43">
        <v>5200</v>
      </c>
      <c r="B25" s="142" t="s">
        <v>201</v>
      </c>
      <c r="C25" s="36">
        <v>0.1</v>
      </c>
    </row>
    <row r="26" spans="1:3" ht="16.5" thickBot="1" x14ac:dyDescent="0.3">
      <c r="A26" s="34"/>
      <c r="B26" s="39" t="s">
        <v>17</v>
      </c>
      <c r="C26" s="36">
        <f>SUM(C20:C25)</f>
        <v>1.3600000000000003</v>
      </c>
    </row>
    <row r="27" spans="1:3" ht="16.5" thickBot="1" x14ac:dyDescent="0.3">
      <c r="A27" s="33"/>
      <c r="B27" s="45" t="s">
        <v>18</v>
      </c>
      <c r="C27" s="36">
        <f>SUM(C18,C26)</f>
        <v>15.055</v>
      </c>
    </row>
    <row r="28" spans="1:3" ht="16.5" thickBot="1" x14ac:dyDescent="0.3">
      <c r="A28" s="264" t="s">
        <v>19</v>
      </c>
      <c r="B28" s="265"/>
      <c r="C28" s="48">
        <v>1</v>
      </c>
    </row>
    <row r="29" spans="1:3" ht="16.5" thickBot="1" x14ac:dyDescent="0.3">
      <c r="A29" s="252" t="s">
        <v>20</v>
      </c>
      <c r="B29" s="253"/>
      <c r="C29" s="47">
        <f>C27</f>
        <v>15.055</v>
      </c>
    </row>
    <row r="30" spans="1:3" ht="16.5" thickBot="1" x14ac:dyDescent="0.3">
      <c r="A30" s="252" t="s">
        <v>21</v>
      </c>
      <c r="B30" s="253"/>
      <c r="C30" s="46">
        <v>339</v>
      </c>
    </row>
    <row r="31" spans="1:3" ht="16.5" thickBot="1" x14ac:dyDescent="0.3">
      <c r="A31" s="252" t="s">
        <v>22</v>
      </c>
      <c r="B31" s="253"/>
      <c r="C31" s="47">
        <f>C30*C29</f>
        <v>5103.6449999999995</v>
      </c>
    </row>
  </sheetData>
  <mergeCells count="5">
    <mergeCell ref="B2:C2"/>
    <mergeCell ref="A28:B28"/>
    <mergeCell ref="A29:B29"/>
    <mergeCell ref="A30:B30"/>
    <mergeCell ref="A31:B31"/>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FDFA-8A86-4A87-B730-B3A2FEFBBEB8}">
  <sheetPr>
    <tabColor theme="9" tint="0.79998168889431442"/>
  </sheetPr>
  <dimension ref="A1:C10"/>
  <sheetViews>
    <sheetView zoomScale="85" zoomScaleNormal="85" workbookViewId="0">
      <selection activeCell="C10" sqref="C10"/>
    </sheetView>
  </sheetViews>
  <sheetFormatPr defaultRowHeight="15" x14ac:dyDescent="0.25"/>
  <cols>
    <col min="1" max="1" width="21.140625" bestFit="1" customWidth="1"/>
    <col min="2" max="2" width="132.5703125" customWidth="1"/>
    <col min="3" max="3" width="26.42578125" customWidth="1"/>
  </cols>
  <sheetData>
    <row r="1" spans="1:3" ht="15.75" x14ac:dyDescent="0.25">
      <c r="A1" s="28" t="s">
        <v>66</v>
      </c>
      <c r="B1" s="29" t="s">
        <v>67</v>
      </c>
      <c r="C1" s="30"/>
    </row>
    <row r="2" spans="1:3" ht="31.5" x14ac:dyDescent="0.25">
      <c r="A2" s="31" t="s">
        <v>68</v>
      </c>
      <c r="B2" s="252" t="s">
        <v>626</v>
      </c>
      <c r="C2" s="252"/>
    </row>
    <row r="3" spans="1:3" ht="15.75" x14ac:dyDescent="0.25">
      <c r="A3" s="31"/>
      <c r="B3" s="32" t="s">
        <v>631</v>
      </c>
      <c r="C3" s="32"/>
    </row>
    <row r="4" spans="1:3" ht="15.75" x14ac:dyDescent="0.25">
      <c r="A4" s="31" t="s">
        <v>71</v>
      </c>
      <c r="B4" s="29" t="s">
        <v>187</v>
      </c>
      <c r="C4" s="30"/>
    </row>
    <row r="6" spans="1:3" ht="15.75" thickBot="1" x14ac:dyDescent="0.3"/>
    <row r="7" spans="1:3" ht="63.75" thickBot="1" x14ac:dyDescent="0.3">
      <c r="A7" s="71" t="s">
        <v>0</v>
      </c>
      <c r="B7" s="218" t="s">
        <v>1</v>
      </c>
      <c r="C7" s="219" t="s">
        <v>2</v>
      </c>
    </row>
    <row r="8" spans="1:3" ht="16.5" thickBot="1" x14ac:dyDescent="0.3">
      <c r="A8" s="78">
        <v>1</v>
      </c>
      <c r="B8" s="33">
        <v>2</v>
      </c>
      <c r="C8" s="220">
        <v>3</v>
      </c>
    </row>
    <row r="9" spans="1:3" ht="16.5" thickBot="1" x14ac:dyDescent="0.3">
      <c r="A9" s="221"/>
      <c r="B9" s="224" t="s">
        <v>3</v>
      </c>
      <c r="C9" s="220" t="s">
        <v>4</v>
      </c>
    </row>
    <row r="10" spans="1:3" ht="26.25" thickBot="1" x14ac:dyDescent="0.3">
      <c r="A10" s="223"/>
      <c r="B10" s="66" t="s">
        <v>633</v>
      </c>
      <c r="C10" s="222" t="s">
        <v>634</v>
      </c>
    </row>
  </sheetData>
  <mergeCells count="1">
    <mergeCell ref="B2:C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2B5D-40F4-4154-AF7D-B52FD1FB2C7C}">
  <sheetPr>
    <tabColor theme="9" tint="0.79998168889431442"/>
  </sheetPr>
  <dimension ref="A1:C10"/>
  <sheetViews>
    <sheetView zoomScale="85" zoomScaleNormal="85" workbookViewId="0">
      <selection activeCell="A7" sqref="A7"/>
    </sheetView>
  </sheetViews>
  <sheetFormatPr defaultRowHeight="15" x14ac:dyDescent="0.25"/>
  <cols>
    <col min="1" max="1" width="21.140625" bestFit="1" customWidth="1"/>
    <col min="2" max="2" width="132.5703125" customWidth="1"/>
    <col min="3" max="3" width="26.42578125" customWidth="1"/>
  </cols>
  <sheetData>
    <row r="1" spans="1:3" ht="15.75" x14ac:dyDescent="0.25">
      <c r="A1" s="28" t="s">
        <v>66</v>
      </c>
      <c r="B1" s="29" t="s">
        <v>67</v>
      </c>
      <c r="C1" s="30"/>
    </row>
    <row r="2" spans="1:3" ht="31.5" x14ac:dyDescent="0.25">
      <c r="A2" s="31" t="s">
        <v>68</v>
      </c>
      <c r="B2" s="252" t="s">
        <v>626</v>
      </c>
      <c r="C2" s="252"/>
    </row>
    <row r="3" spans="1:3" ht="15.75" x14ac:dyDescent="0.25">
      <c r="A3" s="31"/>
      <c r="B3" s="32" t="s">
        <v>632</v>
      </c>
      <c r="C3" s="32"/>
    </row>
    <row r="4" spans="1:3" ht="15.75" x14ac:dyDescent="0.25">
      <c r="A4" s="31" t="s">
        <v>71</v>
      </c>
      <c r="B4" s="29" t="s">
        <v>187</v>
      </c>
      <c r="C4" s="30"/>
    </row>
    <row r="6" spans="1:3" ht="15.75" thickBot="1" x14ac:dyDescent="0.3"/>
    <row r="7" spans="1:3" ht="63.75" thickBot="1" x14ac:dyDescent="0.3">
      <c r="A7" s="71" t="s">
        <v>0</v>
      </c>
      <c r="B7" s="218" t="s">
        <v>1</v>
      </c>
      <c r="C7" s="219" t="s">
        <v>2</v>
      </c>
    </row>
    <row r="8" spans="1:3" ht="16.5" thickBot="1" x14ac:dyDescent="0.3">
      <c r="A8" s="78">
        <v>1</v>
      </c>
      <c r="B8" s="33">
        <v>2</v>
      </c>
      <c r="C8" s="220">
        <v>3</v>
      </c>
    </row>
    <row r="9" spans="1:3" ht="16.5" thickBot="1" x14ac:dyDescent="0.3">
      <c r="A9" s="221"/>
      <c r="B9" s="224" t="s">
        <v>3</v>
      </c>
      <c r="C9" s="220" t="s">
        <v>4</v>
      </c>
    </row>
    <row r="10" spans="1:3" ht="26.25" thickBot="1" x14ac:dyDescent="0.3">
      <c r="A10" s="223"/>
      <c r="B10" s="66" t="s">
        <v>157</v>
      </c>
      <c r="C10" s="222" t="s">
        <v>635</v>
      </c>
    </row>
  </sheetData>
  <mergeCells count="1">
    <mergeCell ref="B2:C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2281-B85A-42FC-96E3-C9F07FE1BD73}">
  <sheetPr>
    <tabColor theme="9" tint="0.79998168889431442"/>
  </sheetPr>
  <dimension ref="A1:C25"/>
  <sheetViews>
    <sheetView zoomScale="85" zoomScaleNormal="85" workbookViewId="0">
      <selection activeCell="B8" sqref="B8"/>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291</v>
      </c>
      <c r="C2" s="252"/>
    </row>
    <row r="3" spans="1:3" ht="15.75" x14ac:dyDescent="0.25">
      <c r="A3" s="31" t="s">
        <v>71</v>
      </c>
      <c r="B3" s="29" t="s">
        <v>187</v>
      </c>
      <c r="C3" s="30"/>
    </row>
    <row r="4" spans="1:3" ht="15.75" x14ac:dyDescent="0.25">
      <c r="A4" s="31"/>
      <c r="B4" s="29"/>
      <c r="C4" s="30"/>
    </row>
    <row r="5" spans="1:3" ht="16.5" thickBot="1" x14ac:dyDescent="0.3">
      <c r="A5" s="31"/>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37" t="s">
        <v>292</v>
      </c>
      <c r="C9" s="33"/>
    </row>
    <row r="10" spans="1:3" ht="79.5" thickBot="1" x14ac:dyDescent="0.3">
      <c r="A10" s="38">
        <v>1100</v>
      </c>
      <c r="B10" s="37" t="s">
        <v>266</v>
      </c>
      <c r="C10" s="36">
        <f>10.89*0.333</f>
        <v>3.6263700000000005</v>
      </c>
    </row>
    <row r="11" spans="1:3" ht="16.5" thickBot="1" x14ac:dyDescent="0.3">
      <c r="A11" s="34"/>
      <c r="B11" s="61" t="s">
        <v>39</v>
      </c>
      <c r="C11" s="92">
        <f>SUM(C10:C10)</f>
        <v>3.6263700000000005</v>
      </c>
    </row>
    <row r="12" spans="1:3" ht="16.5" thickBot="1" x14ac:dyDescent="0.3">
      <c r="A12" s="34"/>
      <c r="B12" s="39" t="s">
        <v>8</v>
      </c>
      <c r="C12" s="92">
        <f>SUM(C11)</f>
        <v>3.6263700000000005</v>
      </c>
    </row>
    <row r="13" spans="1:3" ht="16.5" thickBot="1" x14ac:dyDescent="0.3">
      <c r="A13" s="34"/>
      <c r="B13" s="33" t="s">
        <v>9</v>
      </c>
      <c r="C13" s="36" t="s">
        <v>4</v>
      </c>
    </row>
    <row r="14" spans="1:3" ht="16.5" thickBot="1" x14ac:dyDescent="0.3">
      <c r="A14" s="33">
        <v>1100</v>
      </c>
      <c r="B14" s="131" t="s">
        <v>10</v>
      </c>
      <c r="C14" s="36">
        <v>0.1</v>
      </c>
    </row>
    <row r="15" spans="1:3" ht="16.5" thickBot="1" x14ac:dyDescent="0.3">
      <c r="A15" s="140">
        <v>2210</v>
      </c>
      <c r="B15" s="141" t="s">
        <v>11</v>
      </c>
      <c r="C15" s="92">
        <v>0.01</v>
      </c>
    </row>
    <row r="16" spans="1:3" ht="16.5" thickBot="1" x14ac:dyDescent="0.3">
      <c r="A16" s="140">
        <v>2220</v>
      </c>
      <c r="B16" s="141" t="s">
        <v>12</v>
      </c>
      <c r="C16" s="36">
        <v>0.05</v>
      </c>
    </row>
    <row r="17" spans="1:3" ht="16.5" thickBot="1" x14ac:dyDescent="0.3">
      <c r="A17" s="140">
        <v>2240</v>
      </c>
      <c r="B17" s="141" t="s">
        <v>56</v>
      </c>
      <c r="C17" s="36">
        <v>0.14000000000000001</v>
      </c>
    </row>
    <row r="18" spans="1:3" ht="16.5" thickBot="1" x14ac:dyDescent="0.3">
      <c r="A18" s="140">
        <v>2310</v>
      </c>
      <c r="B18" s="141" t="s">
        <v>15</v>
      </c>
      <c r="C18" s="36">
        <v>0.03</v>
      </c>
    </row>
    <row r="19" spans="1:3" ht="16.5" thickBot="1" x14ac:dyDescent="0.3">
      <c r="A19" s="43">
        <v>5200</v>
      </c>
      <c r="B19" s="142" t="s">
        <v>201</v>
      </c>
      <c r="C19" s="36">
        <v>0.03</v>
      </c>
    </row>
    <row r="20" spans="1:3" ht="16.5" thickBot="1" x14ac:dyDescent="0.3">
      <c r="A20" s="34"/>
      <c r="B20" s="39" t="s">
        <v>17</v>
      </c>
      <c r="C20" s="36">
        <f>SUM(C14:C19)</f>
        <v>0.3600000000000001</v>
      </c>
    </row>
    <row r="21" spans="1:3" ht="16.5" thickBot="1" x14ac:dyDescent="0.3">
      <c r="A21" s="33"/>
      <c r="B21" s="45" t="s">
        <v>18</v>
      </c>
      <c r="C21" s="36">
        <f>ROUND((SUM(C12,C20)),2)</f>
        <v>3.99</v>
      </c>
    </row>
    <row r="22" spans="1:3" ht="16.5" thickBot="1" x14ac:dyDescent="0.3">
      <c r="A22" s="264" t="s">
        <v>19</v>
      </c>
      <c r="B22" s="265"/>
      <c r="C22" s="48">
        <v>1</v>
      </c>
    </row>
    <row r="23" spans="1:3" ht="16.5" thickBot="1" x14ac:dyDescent="0.3">
      <c r="A23" s="252" t="s">
        <v>20</v>
      </c>
      <c r="B23" s="253"/>
      <c r="C23" s="47">
        <f>C21</f>
        <v>3.99</v>
      </c>
    </row>
    <row r="24" spans="1:3" ht="16.5" thickBot="1" x14ac:dyDescent="0.3">
      <c r="A24" s="252" t="s">
        <v>21</v>
      </c>
      <c r="B24" s="253"/>
      <c r="C24" s="46">
        <v>0</v>
      </c>
    </row>
    <row r="25" spans="1:3" ht="16.5" thickBot="1" x14ac:dyDescent="0.3">
      <c r="A25" s="252" t="s">
        <v>22</v>
      </c>
      <c r="B25" s="253"/>
      <c r="C25" s="47">
        <f>C24*C23</f>
        <v>0</v>
      </c>
    </row>
  </sheetData>
  <mergeCells count="5">
    <mergeCell ref="B2:C2"/>
    <mergeCell ref="A22:B22"/>
    <mergeCell ref="A23:B23"/>
    <mergeCell ref="A24:B24"/>
    <mergeCell ref="A25:B25"/>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8D97-78DF-444C-9DD3-060E318BA67B}">
  <sheetPr>
    <tabColor theme="9" tint="0.79998168889431442"/>
  </sheetPr>
  <dimension ref="A1:C20"/>
  <sheetViews>
    <sheetView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267</v>
      </c>
      <c r="C2" s="252"/>
    </row>
    <row r="3" spans="1:3" ht="15.75" x14ac:dyDescent="0.25">
      <c r="A3" s="31" t="s">
        <v>71</v>
      </c>
      <c r="B3" s="29" t="s">
        <v>187</v>
      </c>
      <c r="C3" s="30"/>
    </row>
    <row r="4" spans="1:3" ht="15.75" x14ac:dyDescent="0.25">
      <c r="A4" s="31"/>
      <c r="B4" s="29"/>
      <c r="C4" s="30"/>
    </row>
    <row r="5" spans="1:3" ht="16.5" thickBot="1" x14ac:dyDescent="0.3">
      <c r="A5" s="31"/>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8">
        <v>2310</v>
      </c>
      <c r="B9" s="59" t="s">
        <v>268</v>
      </c>
      <c r="C9" s="36">
        <v>0.27</v>
      </c>
    </row>
    <row r="10" spans="1:3" ht="16.5" thickBot="1" x14ac:dyDescent="0.3">
      <c r="A10" s="34"/>
      <c r="B10" s="33" t="s">
        <v>9</v>
      </c>
      <c r="C10" s="36" t="s">
        <v>4</v>
      </c>
    </row>
    <row r="11" spans="1:3" ht="16.5" thickBot="1" x14ac:dyDescent="0.3">
      <c r="A11" s="140">
        <v>2220</v>
      </c>
      <c r="B11" s="141" t="s">
        <v>12</v>
      </c>
      <c r="C11" s="36">
        <v>0.01</v>
      </c>
    </row>
    <row r="12" spans="1:3" ht="16.5" thickBot="1" x14ac:dyDescent="0.3">
      <c r="A12" s="140">
        <v>2243</v>
      </c>
      <c r="B12" s="141" t="s">
        <v>13</v>
      </c>
      <c r="C12" s="36">
        <v>5.0000000000000001E-3</v>
      </c>
    </row>
    <row r="13" spans="1:3" ht="16.5" customHeight="1" thickBot="1" x14ac:dyDescent="0.3">
      <c r="A13" s="140">
        <v>2310</v>
      </c>
      <c r="B13" s="141" t="s">
        <v>15</v>
      </c>
      <c r="C13" s="36">
        <v>5.0000000000000001E-3</v>
      </c>
    </row>
    <row r="14" spans="1:3" ht="16.5" customHeight="1" thickBot="1" x14ac:dyDescent="0.3">
      <c r="A14" s="43">
        <v>5200</v>
      </c>
      <c r="B14" s="142" t="s">
        <v>201</v>
      </c>
      <c r="C14" s="36">
        <v>0.01</v>
      </c>
    </row>
    <row r="15" spans="1:3" ht="16.5" customHeight="1" thickBot="1" x14ac:dyDescent="0.3">
      <c r="A15" s="34"/>
      <c r="B15" s="39" t="s">
        <v>17</v>
      </c>
      <c r="C15" s="36">
        <f>SUM(C11:C14)</f>
        <v>0.03</v>
      </c>
    </row>
    <row r="16" spans="1:3" ht="16.5" customHeight="1" thickBot="1" x14ac:dyDescent="0.3">
      <c r="A16" s="33"/>
      <c r="B16" s="45" t="s">
        <v>18</v>
      </c>
      <c r="C16" s="36">
        <f>ROUND((SUM(C9,C15)),2)</f>
        <v>0.3</v>
      </c>
    </row>
    <row r="17" spans="1:3" ht="16.5" thickBot="1" x14ac:dyDescent="0.3">
      <c r="A17" s="264" t="s">
        <v>19</v>
      </c>
      <c r="B17" s="265"/>
      <c r="C17" s="48">
        <v>1</v>
      </c>
    </row>
    <row r="18" spans="1:3" ht="16.5" thickBot="1" x14ac:dyDescent="0.3">
      <c r="A18" s="252" t="s">
        <v>20</v>
      </c>
      <c r="B18" s="253"/>
      <c r="C18" s="47">
        <f>C16</f>
        <v>0.3</v>
      </c>
    </row>
    <row r="19" spans="1:3" ht="16.5" thickBot="1" x14ac:dyDescent="0.3">
      <c r="A19" s="252" t="s">
        <v>21</v>
      </c>
      <c r="B19" s="253"/>
      <c r="C19" s="46">
        <v>0</v>
      </c>
    </row>
    <row r="20" spans="1:3" ht="16.5" thickBot="1" x14ac:dyDescent="0.3">
      <c r="A20" s="252" t="s">
        <v>22</v>
      </c>
      <c r="B20" s="253"/>
      <c r="C20" s="47">
        <f>C19*C18</f>
        <v>0</v>
      </c>
    </row>
  </sheetData>
  <mergeCells count="5">
    <mergeCell ref="A18:B18"/>
    <mergeCell ref="A19:B19"/>
    <mergeCell ref="A20:B20"/>
    <mergeCell ref="B2:C2"/>
    <mergeCell ref="A17:B17"/>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8E1A-0AEC-4907-B5A2-4386C825DC20}">
  <sheetPr>
    <tabColor theme="9" tint="0.79998168889431442"/>
  </sheetPr>
  <dimension ref="A1:C14"/>
  <sheetViews>
    <sheetView zoomScale="85" zoomScaleNormal="85" workbookViewId="0">
      <selection activeCell="B23" sqref="B23"/>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269</v>
      </c>
      <c r="C2" s="252"/>
    </row>
    <row r="3" spans="1:3" ht="15.75" x14ac:dyDescent="0.25">
      <c r="A3" s="31" t="s">
        <v>71</v>
      </c>
      <c r="B3" s="29" t="s">
        <v>187</v>
      </c>
      <c r="C3" s="30"/>
    </row>
    <row r="4" spans="1:3" ht="15.75" x14ac:dyDescent="0.25">
      <c r="A4" s="31"/>
      <c r="B4" s="29"/>
      <c r="C4" s="30"/>
    </row>
    <row r="5" spans="1:3" ht="16.5" thickBot="1" x14ac:dyDescent="0.3">
      <c r="A5" s="31"/>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8">
        <v>2310</v>
      </c>
      <c r="B9" s="59" t="s">
        <v>270</v>
      </c>
      <c r="C9" s="36">
        <v>1</v>
      </c>
    </row>
    <row r="10" spans="1:3" ht="16.5" thickBot="1" x14ac:dyDescent="0.3">
      <c r="A10" s="33"/>
      <c r="B10" s="45" t="s">
        <v>18</v>
      </c>
      <c r="C10" s="36">
        <f>C9</f>
        <v>1</v>
      </c>
    </row>
    <row r="11" spans="1:3" ht="16.5" thickBot="1" x14ac:dyDescent="0.3">
      <c r="A11" s="264" t="s">
        <v>19</v>
      </c>
      <c r="B11" s="265"/>
      <c r="C11" s="48">
        <v>1</v>
      </c>
    </row>
    <row r="12" spans="1:3" ht="16.5" thickBot="1" x14ac:dyDescent="0.3">
      <c r="A12" s="252" t="s">
        <v>20</v>
      </c>
      <c r="B12" s="253"/>
      <c r="C12" s="47">
        <f>C10</f>
        <v>1</v>
      </c>
    </row>
    <row r="13" spans="1:3" ht="16.5" thickBot="1" x14ac:dyDescent="0.3">
      <c r="A13" s="252" t="s">
        <v>21</v>
      </c>
      <c r="B13" s="253"/>
      <c r="C13" s="46">
        <v>1100</v>
      </c>
    </row>
    <row r="14" spans="1:3" ht="16.5" thickBot="1" x14ac:dyDescent="0.3">
      <c r="A14" s="252" t="s">
        <v>22</v>
      </c>
      <c r="B14" s="253"/>
      <c r="C14" s="47">
        <f>C13*C12</f>
        <v>1100</v>
      </c>
    </row>
  </sheetData>
  <mergeCells count="5">
    <mergeCell ref="B2:C2"/>
    <mergeCell ref="A11:B11"/>
    <mergeCell ref="A12:B12"/>
    <mergeCell ref="A13:B13"/>
    <mergeCell ref="A14:B14"/>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DC0C6-E981-441F-B385-0CCDCA49C20C}">
  <sheetPr>
    <tabColor theme="9" tint="0.79998168889431442"/>
  </sheetPr>
  <dimension ref="A1:C9"/>
  <sheetViews>
    <sheetView zoomScale="115" zoomScaleNormal="115" workbookViewId="0">
      <selection activeCell="B22" sqref="B2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636</v>
      </c>
      <c r="C2" s="252"/>
    </row>
    <row r="3" spans="1:3" ht="31.5" x14ac:dyDescent="0.25">
      <c r="A3" s="31"/>
      <c r="B3" s="32" t="s">
        <v>637</v>
      </c>
      <c r="C3" s="32"/>
    </row>
    <row r="4" spans="1:3" ht="15.75" x14ac:dyDescent="0.25">
      <c r="A4" s="31" t="s">
        <v>71</v>
      </c>
      <c r="B4" s="29" t="s">
        <v>187</v>
      </c>
      <c r="C4" s="30"/>
    </row>
    <row r="6" spans="1:3" ht="53.25" customHeight="1" x14ac:dyDescent="0.25">
      <c r="B6" s="259" t="s">
        <v>694</v>
      </c>
      <c r="C6" s="259"/>
    </row>
    <row r="7" spans="1:3" x14ac:dyDescent="0.25">
      <c r="A7" t="s">
        <v>695</v>
      </c>
      <c r="B7" s="242">
        <v>225.43</v>
      </c>
    </row>
    <row r="8" spans="1:3" x14ac:dyDescent="0.25">
      <c r="A8" t="s">
        <v>696</v>
      </c>
      <c r="B8" s="242">
        <v>136.53</v>
      </c>
    </row>
    <row r="9" spans="1:3" x14ac:dyDescent="0.25">
      <c r="A9" t="s">
        <v>697</v>
      </c>
      <c r="B9" s="242">
        <v>88.9</v>
      </c>
    </row>
  </sheetData>
  <mergeCells count="2">
    <mergeCell ref="B2:C2"/>
    <mergeCell ref="B6:C6"/>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588F-8DD4-4084-AEEC-5C2B61218BB6}">
  <sheetPr>
    <tabColor theme="9" tint="0.79998168889431442"/>
  </sheetPr>
  <dimension ref="A1:C37"/>
  <sheetViews>
    <sheetView topLeftCell="A15" zoomScale="85" zoomScaleNormal="85" workbookViewId="0">
      <selection activeCell="F35" sqref="F35"/>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271</v>
      </c>
      <c r="C2" s="252"/>
    </row>
    <row r="3" spans="1:3" ht="15.75" x14ac:dyDescent="0.25">
      <c r="A3" s="31"/>
      <c r="B3" s="32" t="s">
        <v>272</v>
      </c>
      <c r="C3" s="32"/>
    </row>
    <row r="4" spans="1:3" ht="15.75" x14ac:dyDescent="0.25">
      <c r="A4" s="31" t="s">
        <v>71</v>
      </c>
      <c r="B4" s="29" t="s">
        <v>187</v>
      </c>
      <c r="C4" s="30"/>
    </row>
    <row r="5" spans="1:3" ht="15.75" x14ac:dyDescent="0.25">
      <c r="A5" s="31"/>
      <c r="B5" s="29"/>
      <c r="C5" s="30"/>
    </row>
    <row r="6" spans="1:3" ht="16.5" thickBot="1" x14ac:dyDescent="0.3">
      <c r="A6" s="31"/>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274</v>
      </c>
      <c r="C10" s="33"/>
    </row>
    <row r="11" spans="1:3" ht="63.75" thickBot="1" x14ac:dyDescent="0.3">
      <c r="A11" s="38">
        <v>1100</v>
      </c>
      <c r="B11" s="37" t="s">
        <v>284</v>
      </c>
      <c r="C11" s="36">
        <f>ROUND((13.36*0.5),2)</f>
        <v>6.68</v>
      </c>
    </row>
    <row r="12" spans="1:3" ht="16.5" thickBot="1" x14ac:dyDescent="0.3">
      <c r="A12" s="38"/>
      <c r="B12" s="37" t="s">
        <v>275</v>
      </c>
      <c r="C12" s="36"/>
    </row>
    <row r="13" spans="1:3" ht="63.75" thickBot="1" x14ac:dyDescent="0.3">
      <c r="A13" s="38">
        <v>1100</v>
      </c>
      <c r="B13" s="37" t="s">
        <v>638</v>
      </c>
      <c r="C13" s="36">
        <f>ROUND((13.36*2),2)</f>
        <v>26.72</v>
      </c>
    </row>
    <row r="14" spans="1:3" ht="63.75" thickBot="1" x14ac:dyDescent="0.3">
      <c r="A14" s="38">
        <v>1100</v>
      </c>
      <c r="B14" s="37" t="s">
        <v>286</v>
      </c>
      <c r="C14" s="36">
        <f>ROUND((13.36*0.667),2)</f>
        <v>8.91</v>
      </c>
    </row>
    <row r="15" spans="1:3" ht="48" thickBot="1" x14ac:dyDescent="0.3">
      <c r="A15" s="33">
        <v>2322</v>
      </c>
      <c r="B15" s="37" t="s">
        <v>273</v>
      </c>
      <c r="C15" s="36">
        <f>3*1.73</f>
        <v>5.1899999999999995</v>
      </c>
    </row>
    <row r="16" spans="1:3" ht="16.5" thickBot="1" x14ac:dyDescent="0.3">
      <c r="A16" s="33"/>
      <c r="B16" s="37" t="s">
        <v>276</v>
      </c>
      <c r="C16" s="36"/>
    </row>
    <row r="17" spans="1:3" ht="63.75" thickBot="1" x14ac:dyDescent="0.3">
      <c r="A17" s="38">
        <v>1100</v>
      </c>
      <c r="B17" s="37" t="s">
        <v>639</v>
      </c>
      <c r="C17" s="36">
        <f>13.36*0.65</f>
        <v>8.6839999999999993</v>
      </c>
    </row>
    <row r="18" spans="1:3" ht="16.5" customHeight="1" thickBot="1" x14ac:dyDescent="0.3">
      <c r="A18" s="33">
        <v>2310</v>
      </c>
      <c r="B18" s="37" t="s">
        <v>278</v>
      </c>
      <c r="C18" s="36">
        <v>1.7</v>
      </c>
    </row>
    <row r="19" spans="1:3" ht="16.5" customHeight="1" thickBot="1" x14ac:dyDescent="0.3">
      <c r="A19" s="33">
        <v>2210</v>
      </c>
      <c r="B19" s="37" t="s">
        <v>277</v>
      </c>
      <c r="C19" s="36">
        <v>3.5</v>
      </c>
    </row>
    <row r="20" spans="1:3" ht="16.5" customHeight="1" thickBot="1" x14ac:dyDescent="0.3">
      <c r="A20" s="33"/>
      <c r="B20" s="37" t="s">
        <v>279</v>
      </c>
      <c r="C20" s="36"/>
    </row>
    <row r="21" spans="1:3" ht="63.75" thickBot="1" x14ac:dyDescent="0.3">
      <c r="A21" s="38">
        <v>1100</v>
      </c>
      <c r="B21" s="37" t="s">
        <v>287</v>
      </c>
      <c r="C21" s="36">
        <f>13.36*0.5</f>
        <v>6.68</v>
      </c>
    </row>
    <row r="22" spans="1:3" ht="16.5" customHeight="1" thickBot="1" x14ac:dyDescent="0.3">
      <c r="A22" s="33"/>
      <c r="B22" s="37" t="s">
        <v>280</v>
      </c>
      <c r="C22" s="36"/>
    </row>
    <row r="23" spans="1:3" ht="63.75" thickBot="1" x14ac:dyDescent="0.3">
      <c r="A23" s="38">
        <v>1100</v>
      </c>
      <c r="B23" s="37" t="s">
        <v>640</v>
      </c>
      <c r="C23" s="36">
        <f>ROUND((13.36*0.676),2)</f>
        <v>9.0299999999999994</v>
      </c>
    </row>
    <row r="24" spans="1:3" ht="16.5" thickBot="1" x14ac:dyDescent="0.3">
      <c r="A24" s="34"/>
      <c r="B24" s="39" t="s">
        <v>281</v>
      </c>
      <c r="C24" s="36">
        <f>SUM(C11:C23)</f>
        <v>77.093999999999994</v>
      </c>
    </row>
    <row r="25" spans="1:3" ht="16.5" thickBot="1" x14ac:dyDescent="0.3">
      <c r="A25" s="130"/>
      <c r="B25" s="39" t="s">
        <v>8</v>
      </c>
      <c r="C25" s="103">
        <f>C24</f>
        <v>77.093999999999994</v>
      </c>
    </row>
    <row r="26" spans="1:3" ht="16.5" thickBot="1" x14ac:dyDescent="0.3">
      <c r="A26" s="34"/>
      <c r="B26" s="33" t="s">
        <v>9</v>
      </c>
      <c r="C26" s="36" t="s">
        <v>4</v>
      </c>
    </row>
    <row r="27" spans="1:3" ht="16.5" thickBot="1" x14ac:dyDescent="0.3">
      <c r="A27" s="33">
        <v>1100</v>
      </c>
      <c r="B27" s="131" t="s">
        <v>10</v>
      </c>
      <c r="C27" s="36">
        <v>2.77</v>
      </c>
    </row>
    <row r="28" spans="1:3" ht="16.5" thickBot="1" x14ac:dyDescent="0.3">
      <c r="A28" s="132">
        <v>2210</v>
      </c>
      <c r="B28" s="133" t="s">
        <v>11</v>
      </c>
      <c r="C28" s="92">
        <v>0.93</v>
      </c>
    </row>
    <row r="29" spans="1:3" ht="16.5" thickBot="1" x14ac:dyDescent="0.3">
      <c r="A29" s="134">
        <v>2242</v>
      </c>
      <c r="B29" s="135" t="s">
        <v>31</v>
      </c>
      <c r="C29" s="103">
        <v>1.36</v>
      </c>
    </row>
    <row r="30" spans="1:3" ht="16.5" thickBot="1" x14ac:dyDescent="0.3">
      <c r="A30" s="136">
        <v>2310</v>
      </c>
      <c r="B30" s="137" t="s">
        <v>15</v>
      </c>
      <c r="C30" s="103">
        <v>1.75</v>
      </c>
    </row>
    <row r="31" spans="1:3" ht="16.5" thickBot="1" x14ac:dyDescent="0.3">
      <c r="A31" s="46">
        <v>5200</v>
      </c>
      <c r="B31" s="138" t="s">
        <v>201</v>
      </c>
      <c r="C31" s="103">
        <v>1.76</v>
      </c>
    </row>
    <row r="32" spans="1:3" ht="16.5" thickBot="1" x14ac:dyDescent="0.3">
      <c r="A32" s="58"/>
      <c r="B32" s="139" t="s">
        <v>17</v>
      </c>
      <c r="C32" s="36">
        <f>SUM(C27:C31)</f>
        <v>8.57</v>
      </c>
    </row>
    <row r="33" spans="1:3" ht="16.5" thickBot="1" x14ac:dyDescent="0.3">
      <c r="A33" s="33"/>
      <c r="B33" s="45" t="s">
        <v>18</v>
      </c>
      <c r="C33" s="36">
        <f>ROUND((C25+C32),2)</f>
        <v>85.66</v>
      </c>
    </row>
    <row r="34" spans="1:3" ht="16.5" thickBot="1" x14ac:dyDescent="0.3">
      <c r="A34" s="264" t="s">
        <v>19</v>
      </c>
      <c r="B34" s="265"/>
      <c r="C34" s="48">
        <v>1</v>
      </c>
    </row>
    <row r="35" spans="1:3" ht="16.5" thickBot="1" x14ac:dyDescent="0.3">
      <c r="A35" s="252" t="s">
        <v>20</v>
      </c>
      <c r="B35" s="253"/>
      <c r="C35" s="47">
        <f>C33</f>
        <v>85.66</v>
      </c>
    </row>
    <row r="36" spans="1:3" ht="16.5" thickBot="1" x14ac:dyDescent="0.3">
      <c r="A36" s="252" t="s">
        <v>21</v>
      </c>
      <c r="B36" s="253"/>
      <c r="C36" s="46">
        <v>4500</v>
      </c>
    </row>
    <row r="37" spans="1:3" ht="16.5" thickBot="1" x14ac:dyDescent="0.3">
      <c r="A37" s="252" t="s">
        <v>22</v>
      </c>
      <c r="B37" s="253"/>
      <c r="C37" s="47">
        <f>C36*C35</f>
        <v>385470</v>
      </c>
    </row>
  </sheetData>
  <mergeCells count="5">
    <mergeCell ref="A35:B35"/>
    <mergeCell ref="A36:B36"/>
    <mergeCell ref="A37:B37"/>
    <mergeCell ref="B2:C2"/>
    <mergeCell ref="A34:B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B370-1E64-434C-A21A-BE9B3506C04C}">
  <sheetPr>
    <tabColor theme="9" tint="0.79998168889431442"/>
  </sheetPr>
  <dimension ref="A1:C15"/>
  <sheetViews>
    <sheetView zoomScale="115" zoomScaleNormal="115" workbookViewId="0">
      <selection activeCell="B22" sqref="B2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509</v>
      </c>
      <c r="C2" s="252"/>
    </row>
    <row r="3" spans="1:3" ht="15.75" x14ac:dyDescent="0.25">
      <c r="A3" s="31"/>
      <c r="B3" s="32" t="s">
        <v>537</v>
      </c>
      <c r="C3" s="32"/>
    </row>
    <row r="4" spans="1:3" ht="15.75" x14ac:dyDescent="0.25">
      <c r="A4" s="29"/>
      <c r="B4" s="32" t="s">
        <v>540</v>
      </c>
      <c r="C4" s="32"/>
    </row>
    <row r="5" spans="1:3" ht="15.75" x14ac:dyDescent="0.25">
      <c r="A5" s="31" t="s">
        <v>71</v>
      </c>
      <c r="B5" s="32" t="s">
        <v>203</v>
      </c>
      <c r="C5" s="32"/>
    </row>
    <row r="8" spans="1:3" ht="48" customHeight="1" x14ac:dyDescent="0.25">
      <c r="A8" s="259" t="s">
        <v>683</v>
      </c>
      <c r="B8" s="259"/>
    </row>
    <row r="9" spans="1:3" x14ac:dyDescent="0.25">
      <c r="A9" t="s">
        <v>689</v>
      </c>
      <c r="B9" s="242">
        <v>45.77</v>
      </c>
    </row>
    <row r="10" spans="1:3" x14ac:dyDescent="0.25">
      <c r="A10" t="s">
        <v>690</v>
      </c>
      <c r="B10" s="242">
        <v>34.770000000000003</v>
      </c>
    </row>
    <row r="11" spans="1:3" x14ac:dyDescent="0.25">
      <c r="A11" t="s">
        <v>691</v>
      </c>
      <c r="B11" s="243">
        <v>11</v>
      </c>
    </row>
    <row r="12" spans="1:3" x14ac:dyDescent="0.25">
      <c r="B12" s="242"/>
    </row>
    <row r="13" spans="1:3" x14ac:dyDescent="0.25">
      <c r="A13" t="s">
        <v>692</v>
      </c>
      <c r="B13" s="242">
        <v>51.74</v>
      </c>
    </row>
    <row r="14" spans="1:3" x14ac:dyDescent="0.25">
      <c r="A14" t="s">
        <v>693</v>
      </c>
      <c r="B14" s="242">
        <v>40.74</v>
      </c>
    </row>
    <row r="15" spans="1:3" x14ac:dyDescent="0.25">
      <c r="A15" t="s">
        <v>691</v>
      </c>
      <c r="B15" s="243">
        <v>11</v>
      </c>
    </row>
  </sheetData>
  <mergeCells count="2">
    <mergeCell ref="A8:B8"/>
    <mergeCell ref="B2:C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2166-ACFD-43CB-8183-F23A503A974D}">
  <sheetPr>
    <tabColor theme="9" tint="0.79998168889431442"/>
  </sheetPr>
  <dimension ref="A1:C33"/>
  <sheetViews>
    <sheetView topLeftCell="A14" zoomScale="85" zoomScaleNormal="85" workbookViewId="0">
      <selection activeCell="C35" sqref="C35"/>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271</v>
      </c>
      <c r="C2" s="252"/>
    </row>
    <row r="3" spans="1:3" ht="15.75" x14ac:dyDescent="0.25">
      <c r="A3" s="31"/>
      <c r="B3" s="32" t="s">
        <v>641</v>
      </c>
      <c r="C3" s="32"/>
    </row>
    <row r="4" spans="1:3" ht="15.75" x14ac:dyDescent="0.25">
      <c r="A4" s="31" t="s">
        <v>71</v>
      </c>
      <c r="B4" s="29" t="s">
        <v>187</v>
      </c>
      <c r="C4" s="30"/>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274</v>
      </c>
      <c r="C10" s="33"/>
    </row>
    <row r="11" spans="1:3" ht="63.75" thickBot="1" x14ac:dyDescent="0.3">
      <c r="A11" s="38">
        <v>1100</v>
      </c>
      <c r="B11" s="37" t="s">
        <v>646</v>
      </c>
      <c r="C11" s="36">
        <f>ROUND((13.36*0.25),2)</f>
        <v>3.34</v>
      </c>
    </row>
    <row r="12" spans="1:3" ht="16.5" thickBot="1" x14ac:dyDescent="0.3">
      <c r="A12" s="38"/>
      <c r="B12" s="37" t="s">
        <v>275</v>
      </c>
      <c r="C12" s="36"/>
    </row>
    <row r="13" spans="1:3" ht="63.75" thickBot="1" x14ac:dyDescent="0.3">
      <c r="A13" s="38">
        <v>1100</v>
      </c>
      <c r="B13" s="37" t="s">
        <v>649</v>
      </c>
      <c r="C13" s="36">
        <f>ROUND((13.36*0.417),2)</f>
        <v>5.57</v>
      </c>
    </row>
    <row r="14" spans="1:3" ht="63.75" thickBot="1" x14ac:dyDescent="0.3">
      <c r="A14" s="38">
        <v>1100</v>
      </c>
      <c r="B14" s="37" t="s">
        <v>286</v>
      </c>
      <c r="C14" s="36">
        <f>ROUND((13.36*0.667),2)</f>
        <v>8.91</v>
      </c>
    </row>
    <row r="15" spans="1:3" ht="48" thickBot="1" x14ac:dyDescent="0.3">
      <c r="A15" s="33">
        <v>2322</v>
      </c>
      <c r="B15" s="37" t="s">
        <v>273</v>
      </c>
      <c r="C15" s="36">
        <f>3*1.73</f>
        <v>5.1899999999999995</v>
      </c>
    </row>
    <row r="16" spans="1:3" ht="16.5" thickBot="1" x14ac:dyDescent="0.3">
      <c r="A16" s="33"/>
      <c r="B16" s="37" t="s">
        <v>642</v>
      </c>
      <c r="C16" s="36"/>
    </row>
    <row r="17" spans="1:3" ht="63.75" thickBot="1" x14ac:dyDescent="0.3">
      <c r="A17" s="38">
        <v>1100</v>
      </c>
      <c r="B17" s="37" t="s">
        <v>648</v>
      </c>
      <c r="C17" s="36">
        <f>13.36*0.4167</f>
        <v>5.5671119999999998</v>
      </c>
    </row>
    <row r="18" spans="1:3" ht="16.5" thickBot="1" x14ac:dyDescent="0.3">
      <c r="A18" s="33"/>
      <c r="B18" s="37" t="s">
        <v>647</v>
      </c>
      <c r="C18" s="36"/>
    </row>
    <row r="19" spans="1:3" ht="63.75" thickBot="1" x14ac:dyDescent="0.3">
      <c r="A19" s="38">
        <v>1100</v>
      </c>
      <c r="B19" s="37" t="s">
        <v>650</v>
      </c>
      <c r="C19" s="36">
        <f>ROUND((13.36*0.247),2)</f>
        <v>3.3</v>
      </c>
    </row>
    <row r="20" spans="1:3" ht="16.5" thickBot="1" x14ac:dyDescent="0.3">
      <c r="A20" s="34"/>
      <c r="B20" s="39" t="s">
        <v>281</v>
      </c>
      <c r="C20" s="36">
        <f>SUM(C11:C19)</f>
        <v>31.877112</v>
      </c>
    </row>
    <row r="21" spans="1:3" ht="16.5" thickBot="1" x14ac:dyDescent="0.3">
      <c r="A21" s="130"/>
      <c r="B21" s="39" t="s">
        <v>8</v>
      </c>
      <c r="C21" s="103">
        <f>C20</f>
        <v>31.877112</v>
      </c>
    </row>
    <row r="22" spans="1:3" ht="16.5" thickBot="1" x14ac:dyDescent="0.3">
      <c r="A22" s="34"/>
      <c r="B22" s="33" t="s">
        <v>9</v>
      </c>
      <c r="C22" s="36" t="s">
        <v>4</v>
      </c>
    </row>
    <row r="23" spans="1:3" ht="16.5" thickBot="1" x14ac:dyDescent="0.3">
      <c r="A23" s="33">
        <v>1100</v>
      </c>
      <c r="B23" s="131" t="s">
        <v>10</v>
      </c>
      <c r="C23" s="36">
        <v>1.1499999999999999</v>
      </c>
    </row>
    <row r="24" spans="1:3" ht="16.5" thickBot="1" x14ac:dyDescent="0.3">
      <c r="A24" s="132">
        <v>2210</v>
      </c>
      <c r="B24" s="133" t="s">
        <v>11</v>
      </c>
      <c r="C24" s="92">
        <v>0.38</v>
      </c>
    </row>
    <row r="25" spans="1:3" ht="16.5" thickBot="1" x14ac:dyDescent="0.3">
      <c r="A25" s="134">
        <v>2242</v>
      </c>
      <c r="B25" s="135" t="s">
        <v>31</v>
      </c>
      <c r="C25" s="103">
        <v>0.56000000000000005</v>
      </c>
    </row>
    <row r="26" spans="1:3" ht="16.5" thickBot="1" x14ac:dyDescent="0.3">
      <c r="A26" s="136">
        <v>2310</v>
      </c>
      <c r="B26" s="137" t="s">
        <v>15</v>
      </c>
      <c r="C26" s="103">
        <v>0.72</v>
      </c>
    </row>
    <row r="27" spans="1:3" ht="16.5" thickBot="1" x14ac:dyDescent="0.3">
      <c r="A27" s="46">
        <v>5200</v>
      </c>
      <c r="B27" s="138" t="s">
        <v>201</v>
      </c>
      <c r="C27" s="103">
        <v>0.73</v>
      </c>
    </row>
    <row r="28" spans="1:3" ht="16.5" thickBot="1" x14ac:dyDescent="0.3">
      <c r="A28" s="58"/>
      <c r="B28" s="139" t="s">
        <v>17</v>
      </c>
      <c r="C28" s="36">
        <f>SUM(C23:C27)</f>
        <v>3.5399999999999996</v>
      </c>
    </row>
    <row r="29" spans="1:3" ht="16.5" thickBot="1" x14ac:dyDescent="0.3">
      <c r="A29" s="33"/>
      <c r="B29" s="45" t="s">
        <v>18</v>
      </c>
      <c r="C29" s="36">
        <f>ROUND((C21+C28),2)</f>
        <v>35.42</v>
      </c>
    </row>
    <row r="30" spans="1:3" ht="16.5" thickBot="1" x14ac:dyDescent="0.3">
      <c r="A30" s="264" t="s">
        <v>19</v>
      </c>
      <c r="B30" s="265"/>
      <c r="C30" s="48">
        <v>1</v>
      </c>
    </row>
    <row r="31" spans="1:3" ht="16.5" thickBot="1" x14ac:dyDescent="0.3">
      <c r="A31" s="252" t="s">
        <v>20</v>
      </c>
      <c r="B31" s="253"/>
      <c r="C31" s="47">
        <f>C29</f>
        <v>35.42</v>
      </c>
    </row>
    <row r="32" spans="1:3" ht="16.5" thickBot="1" x14ac:dyDescent="0.3">
      <c r="A32" s="252" t="s">
        <v>21</v>
      </c>
      <c r="B32" s="253"/>
      <c r="C32" s="46">
        <v>100</v>
      </c>
    </row>
    <row r="33" spans="1:3" ht="16.5" thickBot="1" x14ac:dyDescent="0.3">
      <c r="A33" s="252" t="s">
        <v>22</v>
      </c>
      <c r="B33" s="253"/>
      <c r="C33" s="47">
        <f>C32*C31</f>
        <v>3542</v>
      </c>
    </row>
  </sheetData>
  <mergeCells count="5">
    <mergeCell ref="B2:C2"/>
    <mergeCell ref="A30:B30"/>
    <mergeCell ref="A31:B31"/>
    <mergeCell ref="A32:B32"/>
    <mergeCell ref="A33:B33"/>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95C2-31A8-4840-BE92-B53174DDA7AB}">
  <sheetPr>
    <tabColor theme="9" tint="0.79998168889431442"/>
  </sheetPr>
  <dimension ref="A1:C15"/>
  <sheetViews>
    <sheetView zoomScale="85" zoomScaleNormal="85" workbookViewId="0">
      <selection activeCell="E24" sqref="E24"/>
    </sheetView>
  </sheetViews>
  <sheetFormatPr defaultColWidth="8.7109375" defaultRowHeight="15" x14ac:dyDescent="0.25"/>
  <cols>
    <col min="1" max="1" width="21.140625" style="215" bestFit="1" customWidth="1"/>
    <col min="2" max="2" width="155.42578125" style="215" customWidth="1"/>
    <col min="3" max="3" width="26.42578125" style="215" customWidth="1"/>
    <col min="4" max="16384" width="8.7109375" style="215"/>
  </cols>
  <sheetData>
    <row r="1" spans="1:3" ht="15.75" x14ac:dyDescent="0.25">
      <c r="A1" s="28" t="s">
        <v>66</v>
      </c>
      <c r="B1" s="29" t="s">
        <v>67</v>
      </c>
      <c r="C1" s="30"/>
    </row>
    <row r="2" spans="1:3" ht="47.45" customHeight="1" x14ac:dyDescent="0.25">
      <c r="A2" s="31" t="s">
        <v>68</v>
      </c>
      <c r="B2" s="252" t="s">
        <v>675</v>
      </c>
      <c r="C2" s="252"/>
    </row>
    <row r="3" spans="1:3" ht="15.75" x14ac:dyDescent="0.25">
      <c r="A3" s="31" t="s">
        <v>71</v>
      </c>
      <c r="B3" s="29" t="s">
        <v>187</v>
      </c>
      <c r="C3" s="30"/>
    </row>
    <row r="4" spans="1:3" ht="15.75" x14ac:dyDescent="0.25">
      <c r="A4" s="31"/>
      <c r="B4" s="29"/>
      <c r="C4" s="30"/>
    </row>
    <row r="5" spans="1:3" ht="16.5" thickBot="1" x14ac:dyDescent="0.3">
      <c r="A5" s="31"/>
      <c r="B5" s="29"/>
      <c r="C5" s="30"/>
    </row>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16.5" thickBot="1" x14ac:dyDescent="0.3">
      <c r="A9" s="34"/>
      <c r="B9" s="37" t="s">
        <v>285</v>
      </c>
      <c r="C9" s="43"/>
    </row>
    <row r="10" spans="1:3" ht="63.75" thickBot="1" x14ac:dyDescent="0.3">
      <c r="A10" s="38">
        <v>1100</v>
      </c>
      <c r="B10" s="37" t="s">
        <v>674</v>
      </c>
      <c r="C10" s="36">
        <f>ROUND((13.36*1),2)</f>
        <v>13.36</v>
      </c>
    </row>
    <row r="11" spans="1:3" ht="16.5" thickBot="1" x14ac:dyDescent="0.3">
      <c r="A11" s="33"/>
      <c r="B11" s="45" t="s">
        <v>18</v>
      </c>
      <c r="C11" s="36">
        <f>C10</f>
        <v>13.36</v>
      </c>
    </row>
    <row r="12" spans="1:3" ht="16.5" thickBot="1" x14ac:dyDescent="0.3">
      <c r="A12" s="227" t="s">
        <v>19</v>
      </c>
      <c r="B12" s="225"/>
      <c r="C12" s="46">
        <v>1</v>
      </c>
    </row>
    <row r="13" spans="1:3" ht="16.5" thickBot="1" x14ac:dyDescent="0.3">
      <c r="A13" s="227" t="s">
        <v>20</v>
      </c>
      <c r="B13" s="225"/>
      <c r="C13" s="47">
        <f>C11</f>
        <v>13.36</v>
      </c>
    </row>
    <row r="14" spans="1:3" ht="16.5" thickBot="1" x14ac:dyDescent="0.3">
      <c r="A14" s="227" t="s">
        <v>21</v>
      </c>
      <c r="B14" s="225"/>
      <c r="C14" s="48">
        <v>800</v>
      </c>
    </row>
    <row r="15" spans="1:3" ht="16.5" thickBot="1" x14ac:dyDescent="0.3">
      <c r="A15" s="227" t="s">
        <v>22</v>
      </c>
      <c r="B15" s="225"/>
      <c r="C15" s="47">
        <f>C14*C13</f>
        <v>10688</v>
      </c>
    </row>
  </sheetData>
  <mergeCells count="1">
    <mergeCell ref="B2:C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5C77F-A790-4632-B82D-6AFABA28BEF7}">
  <sheetPr>
    <tabColor theme="9" tint="0.79998168889431442"/>
  </sheetPr>
  <dimension ref="A1:C12"/>
  <sheetViews>
    <sheetView zoomScale="85" zoomScaleNormal="85" workbookViewId="0">
      <selection activeCell="D29" sqref="D29"/>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643</v>
      </c>
      <c r="C2" s="252"/>
    </row>
    <row r="3" spans="1:3" ht="15.75" x14ac:dyDescent="0.25">
      <c r="A3" s="31" t="s">
        <v>71</v>
      </c>
      <c r="B3" s="29" t="s">
        <v>72</v>
      </c>
      <c r="C3" s="30"/>
    </row>
    <row r="5" spans="1:3" ht="15.75" thickBot="1" x14ac:dyDescent="0.3"/>
    <row r="6" spans="1:3" ht="63.75" thickBot="1" x14ac:dyDescent="0.3">
      <c r="A6" s="33" t="s">
        <v>0</v>
      </c>
      <c r="B6" s="33" t="s">
        <v>1</v>
      </c>
      <c r="C6" s="33" t="s">
        <v>2</v>
      </c>
    </row>
    <row r="7" spans="1:3" ht="16.5" thickBot="1" x14ac:dyDescent="0.3">
      <c r="A7" s="33">
        <v>1</v>
      </c>
      <c r="B7" s="33">
        <v>2</v>
      </c>
      <c r="C7" s="33">
        <v>3</v>
      </c>
    </row>
    <row r="8" spans="1:3" ht="16.5" thickBot="1" x14ac:dyDescent="0.3">
      <c r="A8" s="34"/>
      <c r="B8" s="33" t="s">
        <v>3</v>
      </c>
      <c r="C8" s="33" t="s">
        <v>4</v>
      </c>
    </row>
    <row r="9" spans="1:3" ht="32.25" thickBot="1" x14ac:dyDescent="0.3">
      <c r="A9" s="38">
        <v>2230</v>
      </c>
      <c r="B9" s="59" t="s">
        <v>288</v>
      </c>
      <c r="C9" s="36" t="s">
        <v>644</v>
      </c>
    </row>
    <row r="12" spans="1:3" ht="16.5" x14ac:dyDescent="0.25">
      <c r="A12" s="226" t="s">
        <v>645</v>
      </c>
    </row>
  </sheetData>
  <mergeCells count="1">
    <mergeCell ref="B2:C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D653-EB9F-4290-ADD3-4816CAD3782C}">
  <sheetPr>
    <tabColor theme="9" tint="0.79998168889431442"/>
  </sheetPr>
  <dimension ref="A1:C43"/>
  <sheetViews>
    <sheetView topLeftCell="A27" zoomScale="70" zoomScaleNormal="70" workbookViewId="0">
      <selection activeCell="B51" sqref="B51"/>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651</v>
      </c>
      <c r="C2" s="252"/>
    </row>
    <row r="3" spans="1:3" ht="15.75" x14ac:dyDescent="0.25">
      <c r="A3" s="31"/>
      <c r="B3" s="32" t="s">
        <v>652</v>
      </c>
      <c r="C3" s="32"/>
    </row>
    <row r="4" spans="1:3" ht="15.75" x14ac:dyDescent="0.25">
      <c r="A4" s="31" t="s">
        <v>71</v>
      </c>
      <c r="B4" s="29" t="s">
        <v>72</v>
      </c>
      <c r="C4" s="30"/>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274</v>
      </c>
      <c r="C10" s="33"/>
    </row>
    <row r="11" spans="1:3" ht="63.75" thickBot="1" x14ac:dyDescent="0.3">
      <c r="A11" s="38">
        <v>1100</v>
      </c>
      <c r="B11" s="37" t="s">
        <v>662</v>
      </c>
      <c r="C11" s="36">
        <f>ROUND((13.36*2.3),2)</f>
        <v>30.73</v>
      </c>
    </row>
    <row r="12" spans="1:3" ht="16.5" thickBot="1" x14ac:dyDescent="0.3">
      <c r="A12" s="38"/>
      <c r="B12" s="37" t="s">
        <v>654</v>
      </c>
      <c r="C12" s="36"/>
    </row>
    <row r="13" spans="1:3" ht="63.75" thickBot="1" x14ac:dyDescent="0.3">
      <c r="A13" s="38">
        <v>1100</v>
      </c>
      <c r="B13" s="37" t="s">
        <v>671</v>
      </c>
      <c r="C13" s="36">
        <f>ROUND((13.36*4.7),2)</f>
        <v>62.79</v>
      </c>
    </row>
    <row r="14" spans="1:3" ht="63.75" thickBot="1" x14ac:dyDescent="0.3">
      <c r="A14" s="38">
        <v>1100</v>
      </c>
      <c r="B14" s="37" t="s">
        <v>672</v>
      </c>
      <c r="C14" s="36">
        <f>ROUND((13.36*0.66),2)</f>
        <v>8.82</v>
      </c>
    </row>
    <row r="15" spans="1:3" ht="16.5" thickBot="1" x14ac:dyDescent="0.3">
      <c r="A15" s="33"/>
      <c r="B15" s="37" t="s">
        <v>655</v>
      </c>
      <c r="C15" s="36"/>
    </row>
    <row r="16" spans="1:3" ht="63.75" thickBot="1" x14ac:dyDescent="0.3">
      <c r="A16" s="38">
        <v>1100</v>
      </c>
      <c r="B16" s="37" t="s">
        <v>663</v>
      </c>
      <c r="C16" s="36">
        <f>13.36*3</f>
        <v>40.08</v>
      </c>
    </row>
    <row r="17" spans="1:3" ht="63.75" thickBot="1" x14ac:dyDescent="0.3">
      <c r="A17" s="38">
        <v>1100</v>
      </c>
      <c r="B17" s="37" t="s">
        <v>664</v>
      </c>
      <c r="C17" s="36">
        <f>20.18*0.5</f>
        <v>10.09</v>
      </c>
    </row>
    <row r="18" spans="1:3" ht="16.5" thickBot="1" x14ac:dyDescent="0.3">
      <c r="A18" s="33"/>
      <c r="B18" s="37" t="s">
        <v>656</v>
      </c>
      <c r="C18" s="36"/>
    </row>
    <row r="19" spans="1:3" ht="63.75" thickBot="1" x14ac:dyDescent="0.3">
      <c r="A19" s="38">
        <v>1100</v>
      </c>
      <c r="B19" s="37" t="s">
        <v>665</v>
      </c>
      <c r="C19" s="36">
        <f>13.36*1.5</f>
        <v>20.04</v>
      </c>
    </row>
    <row r="20" spans="1:3" ht="63.75" thickBot="1" x14ac:dyDescent="0.3">
      <c r="A20" s="38">
        <v>1100</v>
      </c>
      <c r="B20" s="37" t="s">
        <v>666</v>
      </c>
      <c r="C20" s="36">
        <f>ROUND((13.36*1),2)</f>
        <v>13.36</v>
      </c>
    </row>
    <row r="21" spans="1:3" ht="48" thickBot="1" x14ac:dyDescent="0.3">
      <c r="A21" s="33">
        <v>2322</v>
      </c>
      <c r="B21" s="37" t="s">
        <v>657</v>
      </c>
      <c r="C21" s="36">
        <f>4.5*1.73</f>
        <v>7.7850000000000001</v>
      </c>
    </row>
    <row r="22" spans="1:3" ht="16.5" thickBot="1" x14ac:dyDescent="0.3">
      <c r="A22" s="33"/>
      <c r="B22" s="37" t="s">
        <v>660</v>
      </c>
      <c r="C22" s="36"/>
    </row>
    <row r="23" spans="1:3" ht="63.75" thickBot="1" x14ac:dyDescent="0.3">
      <c r="A23" s="38">
        <v>1100</v>
      </c>
      <c r="B23" s="37" t="s">
        <v>667</v>
      </c>
      <c r="C23" s="36">
        <f>13.36*0.93</f>
        <v>12.424799999999999</v>
      </c>
    </row>
    <row r="24" spans="1:3" ht="16.5" thickBot="1" x14ac:dyDescent="0.3">
      <c r="A24" s="33">
        <v>2310</v>
      </c>
      <c r="B24" s="37" t="s">
        <v>661</v>
      </c>
      <c r="C24" s="36">
        <v>2</v>
      </c>
    </row>
    <row r="25" spans="1:3" ht="16.5" thickBot="1" x14ac:dyDescent="0.3">
      <c r="A25" s="33">
        <v>2210</v>
      </c>
      <c r="B25" s="37" t="s">
        <v>277</v>
      </c>
      <c r="C25" s="36">
        <v>3.5</v>
      </c>
    </row>
    <row r="26" spans="1:3" ht="16.5" thickBot="1" x14ac:dyDescent="0.3">
      <c r="A26" s="33"/>
      <c r="B26" s="37" t="s">
        <v>658</v>
      </c>
      <c r="C26" s="36"/>
    </row>
    <row r="27" spans="1:3" ht="63.75" thickBot="1" x14ac:dyDescent="0.3">
      <c r="A27" s="38">
        <v>1100</v>
      </c>
      <c r="B27" s="37" t="s">
        <v>287</v>
      </c>
      <c r="C27" s="36">
        <f>13.36*0.5</f>
        <v>6.68</v>
      </c>
    </row>
    <row r="28" spans="1:3" ht="16.5" thickBot="1" x14ac:dyDescent="0.3">
      <c r="A28" s="38"/>
      <c r="B28" s="37" t="s">
        <v>659</v>
      </c>
      <c r="C28" s="36"/>
    </row>
    <row r="29" spans="1:3" ht="63.75" thickBot="1" x14ac:dyDescent="0.3">
      <c r="A29" s="38">
        <v>1100</v>
      </c>
      <c r="B29" s="37" t="s">
        <v>668</v>
      </c>
      <c r="C29" s="36">
        <f>ROUND((13.36*0.7),2)</f>
        <v>9.35</v>
      </c>
    </row>
    <row r="30" spans="1:3" ht="63.75" thickBot="1" x14ac:dyDescent="0.3">
      <c r="A30" s="38">
        <v>1101</v>
      </c>
      <c r="B30" s="37" t="s">
        <v>669</v>
      </c>
      <c r="C30" s="36">
        <f>ROUND((25.12*0.3),2)</f>
        <v>7.54</v>
      </c>
    </row>
    <row r="31" spans="1:3" ht="16.5" thickBot="1" x14ac:dyDescent="0.3">
      <c r="A31" s="130"/>
      <c r="B31" s="39" t="s">
        <v>8</v>
      </c>
      <c r="C31" s="103">
        <f>SUM(C11:C30)</f>
        <v>235.18980000000002</v>
      </c>
    </row>
    <row r="32" spans="1:3" ht="16.5" thickBot="1" x14ac:dyDescent="0.3">
      <c r="A32" s="34"/>
      <c r="B32" s="33" t="s">
        <v>9</v>
      </c>
      <c r="C32" s="36" t="s">
        <v>4</v>
      </c>
    </row>
    <row r="33" spans="1:3" ht="16.5" thickBot="1" x14ac:dyDescent="0.3">
      <c r="A33" s="33">
        <v>1100</v>
      </c>
      <c r="B33" s="131" t="s">
        <v>10</v>
      </c>
      <c r="C33" s="36">
        <v>8.4600000000000009</v>
      </c>
    </row>
    <row r="34" spans="1:3" ht="16.5" thickBot="1" x14ac:dyDescent="0.3">
      <c r="A34" s="132">
        <v>2210</v>
      </c>
      <c r="B34" s="133" t="s">
        <v>11</v>
      </c>
      <c r="C34" s="92">
        <v>2.82</v>
      </c>
    </row>
    <row r="35" spans="1:3" ht="16.5" thickBot="1" x14ac:dyDescent="0.3">
      <c r="A35" s="134">
        <v>2242</v>
      </c>
      <c r="B35" s="135" t="s">
        <v>31</v>
      </c>
      <c r="C35" s="103">
        <v>4.1500000000000004</v>
      </c>
    </row>
    <row r="36" spans="1:3" ht="16.5" thickBot="1" x14ac:dyDescent="0.3">
      <c r="A36" s="136">
        <v>2310</v>
      </c>
      <c r="B36" s="137" t="s">
        <v>15</v>
      </c>
      <c r="C36" s="103">
        <v>5.34</v>
      </c>
    </row>
    <row r="37" spans="1:3" ht="16.5" thickBot="1" x14ac:dyDescent="0.3">
      <c r="A37" s="46">
        <v>5200</v>
      </c>
      <c r="B37" s="138" t="s">
        <v>201</v>
      </c>
      <c r="C37" s="103">
        <v>5.39</v>
      </c>
    </row>
    <row r="38" spans="1:3" ht="16.5" thickBot="1" x14ac:dyDescent="0.3">
      <c r="A38" s="58"/>
      <c r="B38" s="139" t="s">
        <v>17</v>
      </c>
      <c r="C38" s="36">
        <f>SUM(C33:C37)</f>
        <v>26.160000000000004</v>
      </c>
    </row>
    <row r="39" spans="1:3" ht="16.5" thickBot="1" x14ac:dyDescent="0.3">
      <c r="A39" s="33"/>
      <c r="B39" s="45" t="s">
        <v>18</v>
      </c>
      <c r="C39" s="36">
        <f>ROUND((C31+C38),2)</f>
        <v>261.35000000000002</v>
      </c>
    </row>
    <row r="40" spans="1:3" ht="16.5" thickBot="1" x14ac:dyDescent="0.3">
      <c r="A40" s="264" t="s">
        <v>19</v>
      </c>
      <c r="B40" s="265"/>
      <c r="C40" s="48">
        <v>1</v>
      </c>
    </row>
    <row r="41" spans="1:3" ht="16.5" thickBot="1" x14ac:dyDescent="0.3">
      <c r="A41" s="252" t="s">
        <v>20</v>
      </c>
      <c r="B41" s="253"/>
      <c r="C41" s="47">
        <f>C39</f>
        <v>261.35000000000002</v>
      </c>
    </row>
    <row r="42" spans="1:3" ht="16.5" thickBot="1" x14ac:dyDescent="0.3">
      <c r="A42" s="252" t="s">
        <v>21</v>
      </c>
      <c r="B42" s="253"/>
      <c r="C42" s="46">
        <v>5</v>
      </c>
    </row>
    <row r="43" spans="1:3" ht="16.5" thickBot="1" x14ac:dyDescent="0.3">
      <c r="A43" s="252" t="s">
        <v>22</v>
      </c>
      <c r="B43" s="253"/>
      <c r="C43" s="47">
        <f>C42*C41</f>
        <v>1306.75</v>
      </c>
    </row>
  </sheetData>
  <mergeCells count="5">
    <mergeCell ref="B2:C2"/>
    <mergeCell ref="A40:B40"/>
    <mergeCell ref="A41:B41"/>
    <mergeCell ref="A42:B42"/>
    <mergeCell ref="A43:B43"/>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7AD9-2505-4FE4-8322-E2663C143B2B}">
  <sheetPr>
    <tabColor theme="9" tint="0.79998168889431442"/>
  </sheetPr>
  <dimension ref="A1:C28"/>
  <sheetViews>
    <sheetView zoomScale="70" zoomScaleNormal="70" workbookViewId="0">
      <selection activeCell="C31" sqref="C31"/>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651</v>
      </c>
      <c r="C2" s="252"/>
    </row>
    <row r="3" spans="1:3" ht="15.75" x14ac:dyDescent="0.25">
      <c r="A3" s="31"/>
      <c r="B3" s="32" t="s">
        <v>653</v>
      </c>
      <c r="C3" s="32"/>
    </row>
    <row r="4" spans="1:3" ht="15.75" x14ac:dyDescent="0.25">
      <c r="A4" s="31" t="s">
        <v>71</v>
      </c>
      <c r="B4" s="29" t="s">
        <v>72</v>
      </c>
      <c r="C4" s="30"/>
    </row>
    <row r="6" spans="1:3" ht="15.75" thickBot="1" x14ac:dyDescent="0.3"/>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7" t="s">
        <v>670</v>
      </c>
      <c r="C10" s="33"/>
    </row>
    <row r="11" spans="1:3" ht="63.75" thickBot="1" x14ac:dyDescent="0.3">
      <c r="A11" s="38">
        <v>1100</v>
      </c>
      <c r="B11" s="37" t="s">
        <v>671</v>
      </c>
      <c r="C11" s="36">
        <f>ROUND((13.36*4.7),2)</f>
        <v>62.79</v>
      </c>
    </row>
    <row r="12" spans="1:3" ht="63.75" thickBot="1" x14ac:dyDescent="0.3">
      <c r="A12" s="38">
        <v>1100</v>
      </c>
      <c r="B12" s="37" t="s">
        <v>673</v>
      </c>
      <c r="C12" s="36">
        <f>ROUND((13.36*0.64),2)</f>
        <v>8.5500000000000007</v>
      </c>
    </row>
    <row r="13" spans="1:3" ht="16.5" thickBot="1" x14ac:dyDescent="0.3">
      <c r="A13" s="33"/>
      <c r="B13" s="37" t="s">
        <v>684</v>
      </c>
      <c r="C13" s="36"/>
    </row>
    <row r="14" spans="1:3" ht="16.5" thickBot="1" x14ac:dyDescent="0.3">
      <c r="A14" s="33">
        <v>2310</v>
      </c>
      <c r="B14" s="37" t="s">
        <v>661</v>
      </c>
      <c r="C14" s="36">
        <v>2</v>
      </c>
    </row>
    <row r="15" spans="1:3" ht="16.5" thickBot="1" x14ac:dyDescent="0.3">
      <c r="A15" s="33">
        <v>2210</v>
      </c>
      <c r="B15" s="37" t="s">
        <v>277</v>
      </c>
      <c r="C15" s="36">
        <v>3.5</v>
      </c>
    </row>
    <row r="16" spans="1:3" ht="16.5" thickBot="1" x14ac:dyDescent="0.3">
      <c r="A16" s="130"/>
      <c r="B16" s="39" t="s">
        <v>8</v>
      </c>
      <c r="C16" s="103">
        <f>SUM(C11:C15)</f>
        <v>76.84</v>
      </c>
    </row>
    <row r="17" spans="1:3" ht="16.5" thickBot="1" x14ac:dyDescent="0.3">
      <c r="A17" s="34"/>
      <c r="B17" s="33" t="s">
        <v>9</v>
      </c>
      <c r="C17" s="36" t="s">
        <v>4</v>
      </c>
    </row>
    <row r="18" spans="1:3" ht="16.5" thickBot="1" x14ac:dyDescent="0.3">
      <c r="A18" s="33">
        <v>1100</v>
      </c>
      <c r="B18" s="131" t="s">
        <v>10</v>
      </c>
      <c r="C18" s="36">
        <v>2.75</v>
      </c>
    </row>
    <row r="19" spans="1:3" ht="16.5" thickBot="1" x14ac:dyDescent="0.3">
      <c r="A19" s="132">
        <v>2210</v>
      </c>
      <c r="B19" s="133" t="s">
        <v>11</v>
      </c>
      <c r="C19" s="92">
        <v>0.92</v>
      </c>
    </row>
    <row r="20" spans="1:3" ht="16.5" thickBot="1" x14ac:dyDescent="0.3">
      <c r="A20" s="134">
        <v>2242</v>
      </c>
      <c r="B20" s="135" t="s">
        <v>31</v>
      </c>
      <c r="C20" s="103">
        <v>1.35</v>
      </c>
    </row>
    <row r="21" spans="1:3" ht="16.5" thickBot="1" x14ac:dyDescent="0.3">
      <c r="A21" s="136">
        <v>2310</v>
      </c>
      <c r="B21" s="137" t="s">
        <v>15</v>
      </c>
      <c r="C21" s="103">
        <v>1.74</v>
      </c>
    </row>
    <row r="22" spans="1:3" ht="16.5" thickBot="1" x14ac:dyDescent="0.3">
      <c r="A22" s="46">
        <v>5200</v>
      </c>
      <c r="B22" s="138" t="s">
        <v>201</v>
      </c>
      <c r="C22" s="103">
        <v>1.77</v>
      </c>
    </row>
    <row r="23" spans="1:3" ht="16.5" thickBot="1" x14ac:dyDescent="0.3">
      <c r="A23" s="58"/>
      <c r="B23" s="139" t="s">
        <v>17</v>
      </c>
      <c r="C23" s="36">
        <f>SUM(C18:C22)</f>
        <v>8.5299999999999994</v>
      </c>
    </row>
    <row r="24" spans="1:3" ht="16.5" thickBot="1" x14ac:dyDescent="0.3">
      <c r="A24" s="33"/>
      <c r="B24" s="45" t="s">
        <v>18</v>
      </c>
      <c r="C24" s="36">
        <f>ROUND((C16+C23),2)</f>
        <v>85.37</v>
      </c>
    </row>
    <row r="25" spans="1:3" ht="16.5" thickBot="1" x14ac:dyDescent="0.3">
      <c r="A25" s="264" t="s">
        <v>19</v>
      </c>
      <c r="B25" s="265"/>
      <c r="C25" s="48">
        <v>1</v>
      </c>
    </row>
    <row r="26" spans="1:3" ht="16.5" thickBot="1" x14ac:dyDescent="0.3">
      <c r="A26" s="252" t="s">
        <v>20</v>
      </c>
      <c r="B26" s="253"/>
      <c r="C26" s="47">
        <f>C24</f>
        <v>85.37</v>
      </c>
    </row>
    <row r="27" spans="1:3" ht="16.5" thickBot="1" x14ac:dyDescent="0.3">
      <c r="A27" s="252" t="s">
        <v>21</v>
      </c>
      <c r="B27" s="253"/>
      <c r="C27" s="46">
        <v>10</v>
      </c>
    </row>
    <row r="28" spans="1:3" ht="16.5" thickBot="1" x14ac:dyDescent="0.3">
      <c r="A28" s="252" t="s">
        <v>22</v>
      </c>
      <c r="B28" s="253"/>
      <c r="C28" s="47">
        <f>C27*C26</f>
        <v>853.7</v>
      </c>
    </row>
  </sheetData>
  <mergeCells count="5">
    <mergeCell ref="B2:C2"/>
    <mergeCell ref="A25:B25"/>
    <mergeCell ref="A26:B26"/>
    <mergeCell ref="A27:B27"/>
    <mergeCell ref="A28:B28"/>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4EDE-7C1B-442C-912B-FE72F35D5DB3}">
  <sheetPr>
    <tabColor theme="9" tint="0.79998168889431442"/>
  </sheetPr>
  <dimension ref="A1:C27"/>
  <sheetViews>
    <sheetView zoomScale="70" zoomScaleNormal="70" workbookViewId="0">
      <selection activeCell="I22" sqref="I2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103</v>
      </c>
      <c r="C2" s="252"/>
    </row>
    <row r="3" spans="1:3" ht="31.5" x14ac:dyDescent="0.25">
      <c r="A3" s="31"/>
      <c r="B3" s="32" t="s">
        <v>104</v>
      </c>
      <c r="C3" s="3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1" t="s">
        <v>0</v>
      </c>
      <c r="B7" s="1" t="s">
        <v>1</v>
      </c>
      <c r="C7" s="1" t="s">
        <v>2</v>
      </c>
    </row>
    <row r="8" spans="1:3" ht="16.5" thickBot="1" x14ac:dyDescent="0.3">
      <c r="A8" s="1">
        <v>1</v>
      </c>
      <c r="B8" s="1">
        <v>2</v>
      </c>
      <c r="C8" s="1">
        <v>3</v>
      </c>
    </row>
    <row r="9" spans="1:3" ht="16.5" thickBot="1" x14ac:dyDescent="0.3">
      <c r="A9" s="2"/>
      <c r="B9" s="1" t="s">
        <v>3</v>
      </c>
      <c r="C9" s="1" t="s">
        <v>4</v>
      </c>
    </row>
    <row r="10" spans="1:3" ht="79.5" thickBot="1" x14ac:dyDescent="0.3">
      <c r="A10" s="3">
        <v>1100</v>
      </c>
      <c r="B10" s="4" t="s">
        <v>5</v>
      </c>
      <c r="C10" s="5">
        <v>0.47</v>
      </c>
    </row>
    <row r="11" spans="1:3" ht="79.5" thickBot="1" x14ac:dyDescent="0.3">
      <c r="A11" s="3">
        <v>1100</v>
      </c>
      <c r="B11" s="4" t="s">
        <v>6</v>
      </c>
      <c r="C11" s="5">
        <v>2.02</v>
      </c>
    </row>
    <row r="12" spans="1:3" ht="16.5" thickBot="1" x14ac:dyDescent="0.3">
      <c r="A12" s="3">
        <v>5120</v>
      </c>
      <c r="B12" s="6" t="s">
        <v>7</v>
      </c>
      <c r="C12" s="5">
        <v>1.46</v>
      </c>
    </row>
    <row r="13" spans="1:3" ht="16.5" thickBot="1" x14ac:dyDescent="0.3">
      <c r="A13" s="2"/>
      <c r="B13" s="7" t="s">
        <v>8</v>
      </c>
      <c r="C13" s="8">
        <f>SUM(C10:C12)</f>
        <v>3.95</v>
      </c>
    </row>
    <row r="14" spans="1:3" ht="16.5" thickBot="1" x14ac:dyDescent="0.3">
      <c r="A14" s="2"/>
      <c r="B14" s="1" t="s">
        <v>9</v>
      </c>
      <c r="C14" s="5" t="s">
        <v>4</v>
      </c>
    </row>
    <row r="15" spans="1:3" ht="16.5" thickBot="1" x14ac:dyDescent="0.3">
      <c r="A15" s="9">
        <v>1100</v>
      </c>
      <c r="B15" s="10" t="s">
        <v>10</v>
      </c>
      <c r="C15" s="11">
        <v>0.06</v>
      </c>
    </row>
    <row r="16" spans="1:3" ht="16.5" thickBot="1" x14ac:dyDescent="0.3">
      <c r="A16" s="12">
        <v>2210</v>
      </c>
      <c r="B16" s="13" t="s">
        <v>11</v>
      </c>
      <c r="C16" s="5">
        <v>0.02</v>
      </c>
    </row>
    <row r="17" spans="1:3" ht="16.5" thickBot="1" x14ac:dyDescent="0.3">
      <c r="A17" s="3">
        <v>2220</v>
      </c>
      <c r="B17" s="14" t="s">
        <v>12</v>
      </c>
      <c r="C17" s="5">
        <v>0.08</v>
      </c>
    </row>
    <row r="18" spans="1:3" ht="16.5" thickBot="1" x14ac:dyDescent="0.3">
      <c r="A18" s="15">
        <v>2243</v>
      </c>
      <c r="B18" s="16" t="s">
        <v>13</v>
      </c>
      <c r="C18" s="5">
        <v>0.02</v>
      </c>
    </row>
    <row r="19" spans="1:3" ht="16.5" thickBot="1" x14ac:dyDescent="0.3">
      <c r="A19" s="17">
        <v>2250</v>
      </c>
      <c r="B19" s="18" t="s">
        <v>14</v>
      </c>
      <c r="C19" s="5">
        <v>0.11</v>
      </c>
    </row>
    <row r="20" spans="1:3" ht="16.5" thickBot="1" x14ac:dyDescent="0.3">
      <c r="A20" s="3">
        <v>2310</v>
      </c>
      <c r="B20" s="14" t="s">
        <v>15</v>
      </c>
      <c r="C20" s="5">
        <v>0.04</v>
      </c>
    </row>
    <row r="21" spans="1:3" ht="16.5" thickBot="1" x14ac:dyDescent="0.3">
      <c r="A21" s="19">
        <v>5200</v>
      </c>
      <c r="B21" s="20" t="s">
        <v>16</v>
      </c>
      <c r="C21" s="5">
        <v>7.0000000000000007E-2</v>
      </c>
    </row>
    <row r="22" spans="1:3" ht="16.5" thickBot="1" x14ac:dyDescent="0.3">
      <c r="A22" s="2"/>
      <c r="B22" s="7" t="s">
        <v>17</v>
      </c>
      <c r="C22" s="5">
        <f>SUM(C15:C21)</f>
        <v>0.39999999999999997</v>
      </c>
    </row>
    <row r="23" spans="1:3" ht="16.5" thickBot="1" x14ac:dyDescent="0.3">
      <c r="A23" s="1"/>
      <c r="B23" s="21" t="s">
        <v>18</v>
      </c>
      <c r="C23" s="5">
        <f>ROUND((SUM(C13,C22)),2)</f>
        <v>4.3499999999999996</v>
      </c>
    </row>
    <row r="24" spans="1:3" ht="16.5" thickBot="1" x14ac:dyDescent="0.3">
      <c r="A24" s="252" t="s">
        <v>19</v>
      </c>
      <c r="B24" s="253"/>
      <c r="C24" s="22">
        <v>1</v>
      </c>
    </row>
    <row r="25" spans="1:3" ht="16.5" thickBot="1" x14ac:dyDescent="0.3">
      <c r="A25" s="252" t="s">
        <v>20</v>
      </c>
      <c r="B25" s="253"/>
      <c r="C25" s="23">
        <f>C23</f>
        <v>4.3499999999999996</v>
      </c>
    </row>
    <row r="26" spans="1:3" ht="16.5" thickBot="1" x14ac:dyDescent="0.3">
      <c r="A26" s="252" t="s">
        <v>21</v>
      </c>
      <c r="B26" s="253"/>
      <c r="C26" s="24">
        <v>400</v>
      </c>
    </row>
    <row r="27" spans="1:3" ht="16.5" thickBot="1" x14ac:dyDescent="0.3">
      <c r="A27" s="252" t="s">
        <v>22</v>
      </c>
      <c r="B27" s="253"/>
      <c r="C27" s="23">
        <f>C26*C25</f>
        <v>1739.9999999999998</v>
      </c>
    </row>
  </sheetData>
  <mergeCells count="5">
    <mergeCell ref="A27:B27"/>
    <mergeCell ref="A24:B24"/>
    <mergeCell ref="A25:B25"/>
    <mergeCell ref="A26:B26"/>
    <mergeCell ref="B2:C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E4BB-3000-4A19-A7D8-9AE382AFA5CD}">
  <sheetPr>
    <tabColor theme="9" tint="0.79998168889431442"/>
  </sheetPr>
  <dimension ref="A1:C28"/>
  <sheetViews>
    <sheetView zoomScale="70" zoomScaleNormal="70" workbookViewId="0">
      <selection activeCell="C28" sqref="C28"/>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52" t="s">
        <v>103</v>
      </c>
      <c r="C2" s="252"/>
    </row>
    <row r="3" spans="1:3" ht="15.75" x14ac:dyDescent="0.25">
      <c r="A3" s="31"/>
      <c r="B3" s="252" t="s">
        <v>105</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1" t="s">
        <v>0</v>
      </c>
      <c r="B7" s="1" t="s">
        <v>1</v>
      </c>
      <c r="C7" s="1" t="s">
        <v>2</v>
      </c>
    </row>
    <row r="8" spans="1:3" ht="16.5" thickBot="1" x14ac:dyDescent="0.3">
      <c r="A8" s="1">
        <v>1</v>
      </c>
      <c r="B8" s="1">
        <v>2</v>
      </c>
      <c r="C8" s="1">
        <v>3</v>
      </c>
    </row>
    <row r="9" spans="1:3" ht="16.5" thickBot="1" x14ac:dyDescent="0.3">
      <c r="A9" s="2"/>
      <c r="B9" s="1" t="s">
        <v>3</v>
      </c>
      <c r="C9" s="1" t="s">
        <v>4</v>
      </c>
    </row>
    <row r="10" spans="1:3" ht="79.5" thickBot="1" x14ac:dyDescent="0.3">
      <c r="A10" s="3">
        <v>1100</v>
      </c>
      <c r="B10" s="4" t="s">
        <v>23</v>
      </c>
      <c r="C10" s="5">
        <v>0.04</v>
      </c>
    </row>
    <row r="11" spans="1:3" ht="79.5" thickBot="1" x14ac:dyDescent="0.3">
      <c r="A11" s="3">
        <v>1100</v>
      </c>
      <c r="B11" s="4" t="s">
        <v>24</v>
      </c>
      <c r="C11" s="5">
        <v>0.71</v>
      </c>
    </row>
    <row r="12" spans="1:3" ht="16.5" thickBot="1" x14ac:dyDescent="0.3">
      <c r="A12" s="3">
        <v>5120</v>
      </c>
      <c r="B12" s="6" t="s">
        <v>7</v>
      </c>
      <c r="C12" s="5">
        <v>1.46</v>
      </c>
    </row>
    <row r="13" spans="1:3" ht="16.5" thickBot="1" x14ac:dyDescent="0.3">
      <c r="A13" s="3"/>
      <c r="B13" s="6"/>
      <c r="C13" s="5"/>
    </row>
    <row r="14" spans="1:3" ht="16.5" thickBot="1" x14ac:dyDescent="0.3">
      <c r="A14" s="2"/>
      <c r="B14" s="7" t="s">
        <v>8</v>
      </c>
      <c r="C14" s="8">
        <f>SUM(C10:C12)</f>
        <v>2.21</v>
      </c>
    </row>
    <row r="15" spans="1:3" ht="16.5" thickBot="1" x14ac:dyDescent="0.3">
      <c r="A15" s="25"/>
      <c r="B15" s="26" t="s">
        <v>9</v>
      </c>
      <c r="C15" s="5" t="s">
        <v>4</v>
      </c>
    </row>
    <row r="16" spans="1:3" ht="16.5" thickBot="1" x14ac:dyDescent="0.3">
      <c r="A16" s="9">
        <v>1100</v>
      </c>
      <c r="B16" s="10" t="s">
        <v>10</v>
      </c>
      <c r="C16" s="11">
        <v>0.03</v>
      </c>
    </row>
    <row r="17" spans="1:3" ht="16.5" thickBot="1" x14ac:dyDescent="0.3">
      <c r="A17" s="12">
        <v>2210</v>
      </c>
      <c r="B17" s="13" t="s">
        <v>11</v>
      </c>
      <c r="C17" s="5">
        <v>0.01</v>
      </c>
    </row>
    <row r="18" spans="1:3" ht="16.5" thickBot="1" x14ac:dyDescent="0.3">
      <c r="A18" s="3">
        <v>2220</v>
      </c>
      <c r="B18" s="14" t="s">
        <v>12</v>
      </c>
      <c r="C18" s="5">
        <v>0.05</v>
      </c>
    </row>
    <row r="19" spans="1:3" ht="16.5" thickBot="1" x14ac:dyDescent="0.3">
      <c r="A19" s="15">
        <v>2243</v>
      </c>
      <c r="B19" s="16" t="s">
        <v>13</v>
      </c>
      <c r="C19" s="5">
        <v>0.01</v>
      </c>
    </row>
    <row r="20" spans="1:3" ht="16.5" thickBot="1" x14ac:dyDescent="0.3">
      <c r="A20" s="27">
        <v>2250</v>
      </c>
      <c r="B20" s="18" t="s">
        <v>14</v>
      </c>
      <c r="C20" s="5">
        <v>0.06</v>
      </c>
    </row>
    <row r="21" spans="1:3" ht="16.5" thickBot="1" x14ac:dyDescent="0.3">
      <c r="A21" s="3">
        <v>2310</v>
      </c>
      <c r="B21" s="14" t="s">
        <v>15</v>
      </c>
      <c r="C21" s="5">
        <v>0.02</v>
      </c>
    </row>
    <row r="22" spans="1:3" ht="16.5" thickBot="1" x14ac:dyDescent="0.3">
      <c r="A22" s="19">
        <v>5200</v>
      </c>
      <c r="B22" s="20" t="s">
        <v>16</v>
      </c>
      <c r="C22" s="5">
        <v>0.04</v>
      </c>
    </row>
    <row r="23" spans="1:3" ht="16.5" thickBot="1" x14ac:dyDescent="0.3">
      <c r="A23" s="2"/>
      <c r="B23" s="7" t="s">
        <v>17</v>
      </c>
      <c r="C23" s="5">
        <f>SUM(C16:C22)</f>
        <v>0.21999999999999997</v>
      </c>
    </row>
    <row r="24" spans="1:3" ht="16.5" thickBot="1" x14ac:dyDescent="0.3">
      <c r="A24" s="1"/>
      <c r="B24" s="21" t="s">
        <v>18</v>
      </c>
      <c r="C24" s="5">
        <f>ROUND((SUM(C14,C23)),2)</f>
        <v>2.4300000000000002</v>
      </c>
    </row>
    <row r="25" spans="1:3" ht="16.5" thickBot="1" x14ac:dyDescent="0.3">
      <c r="A25" s="252" t="s">
        <v>19</v>
      </c>
      <c r="B25" s="253"/>
      <c r="C25" s="22">
        <v>1</v>
      </c>
    </row>
    <row r="26" spans="1:3" ht="16.5" thickBot="1" x14ac:dyDescent="0.3">
      <c r="A26" s="252" t="s">
        <v>20</v>
      </c>
      <c r="B26" s="253"/>
      <c r="C26" s="23">
        <f>C24</f>
        <v>2.4300000000000002</v>
      </c>
    </row>
    <row r="27" spans="1:3" ht="16.5" thickBot="1" x14ac:dyDescent="0.3">
      <c r="A27" s="252" t="s">
        <v>21</v>
      </c>
      <c r="B27" s="253"/>
      <c r="C27" s="24">
        <v>14000</v>
      </c>
    </row>
    <row r="28" spans="1:3" ht="16.5" thickBot="1" x14ac:dyDescent="0.3">
      <c r="A28" s="252" t="s">
        <v>22</v>
      </c>
      <c r="B28" s="253"/>
      <c r="C28" s="23">
        <f>C27*C26</f>
        <v>34020</v>
      </c>
    </row>
  </sheetData>
  <mergeCells count="6">
    <mergeCell ref="A27:B27"/>
    <mergeCell ref="A28:B28"/>
    <mergeCell ref="A25:B25"/>
    <mergeCell ref="A26:B26"/>
    <mergeCell ref="B2:C2"/>
    <mergeCell ref="B3:C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2EF5-6729-46D0-8562-4B846218BD17}">
  <sheetPr>
    <tabColor theme="9" tint="0.79998168889431442"/>
  </sheetPr>
  <dimension ref="A1:C28"/>
  <sheetViews>
    <sheetView zoomScale="85" zoomScaleNormal="85" workbookViewId="0">
      <selection activeCell="B34" sqref="B34"/>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106</v>
      </c>
      <c r="C2" s="30"/>
    </row>
    <row r="3" spans="1:3" ht="15.75" x14ac:dyDescent="0.25">
      <c r="A3" s="31"/>
      <c r="B3" s="29" t="s">
        <v>107</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5" t="s">
        <v>25</v>
      </c>
      <c r="C10" s="36">
        <f>12.97*0.417</f>
        <v>5.4084900000000005</v>
      </c>
    </row>
    <row r="11" spans="1:3" ht="63.75" thickBot="1" x14ac:dyDescent="0.3">
      <c r="A11" s="33">
        <v>1100</v>
      </c>
      <c r="B11" s="37" t="s">
        <v>26</v>
      </c>
      <c r="C11" s="36">
        <f>12.97*1.333/15</f>
        <v>1.1526006666666668</v>
      </c>
    </row>
    <row r="12" spans="1:3" ht="16.5" thickBot="1" x14ac:dyDescent="0.3">
      <c r="A12" s="38">
        <v>2310</v>
      </c>
      <c r="B12" s="35" t="s">
        <v>27</v>
      </c>
      <c r="C12" s="36">
        <v>1.19</v>
      </c>
    </row>
    <row r="13" spans="1:3" ht="16.5" thickBot="1" x14ac:dyDescent="0.3">
      <c r="A13" s="38">
        <v>2250</v>
      </c>
      <c r="B13" s="35" t="s">
        <v>28</v>
      </c>
      <c r="C13" s="36">
        <v>0.31</v>
      </c>
    </row>
    <row r="14" spans="1:3" ht="16.5" thickBot="1" x14ac:dyDescent="0.3">
      <c r="A14" s="38">
        <v>2322</v>
      </c>
      <c r="B14" s="35" t="s">
        <v>29</v>
      </c>
      <c r="C14" s="36">
        <v>0.76</v>
      </c>
    </row>
    <row r="15" spans="1:3" ht="16.5" thickBot="1" x14ac:dyDescent="0.3">
      <c r="A15" s="34"/>
      <c r="B15" s="39" t="s">
        <v>8</v>
      </c>
      <c r="C15" s="36">
        <f>SUM(C10:C14)</f>
        <v>8.8210906666666666</v>
      </c>
    </row>
    <row r="16" spans="1:3" ht="16.5" thickBot="1" x14ac:dyDescent="0.3">
      <c r="A16" s="34"/>
      <c r="B16" s="33" t="s">
        <v>9</v>
      </c>
      <c r="C16" s="33" t="s">
        <v>4</v>
      </c>
    </row>
    <row r="17" spans="1:3" ht="16.5" thickBot="1" x14ac:dyDescent="0.3">
      <c r="A17" s="38">
        <v>1100</v>
      </c>
      <c r="B17" s="40" t="s">
        <v>30</v>
      </c>
      <c r="C17" s="33">
        <v>0.15</v>
      </c>
    </row>
    <row r="18" spans="1:3" ht="16.5" thickBot="1" x14ac:dyDescent="0.3">
      <c r="A18" s="38">
        <v>2210</v>
      </c>
      <c r="B18" s="40" t="s">
        <v>11</v>
      </c>
      <c r="C18" s="33">
        <v>0.05</v>
      </c>
    </row>
    <row r="19" spans="1:3" ht="16.5" thickBot="1" x14ac:dyDescent="0.3">
      <c r="A19" s="38">
        <v>2242</v>
      </c>
      <c r="B19" s="40" t="s">
        <v>31</v>
      </c>
      <c r="C19" s="33">
        <v>0.15</v>
      </c>
    </row>
    <row r="20" spans="1:3" ht="16.5" thickBot="1" x14ac:dyDescent="0.3">
      <c r="A20" s="41">
        <v>2250</v>
      </c>
      <c r="B20" s="42" t="s">
        <v>14</v>
      </c>
      <c r="C20" s="33">
        <v>0.27</v>
      </c>
    </row>
    <row r="21" spans="1:3" ht="16.5" thickBot="1" x14ac:dyDescent="0.3">
      <c r="A21" s="38">
        <v>2310</v>
      </c>
      <c r="B21" s="40" t="s">
        <v>15</v>
      </c>
      <c r="C21" s="33">
        <v>0.1</v>
      </c>
    </row>
    <row r="22" spans="1:3" ht="16.5" thickBot="1" x14ac:dyDescent="0.3">
      <c r="A22" s="43">
        <v>5200</v>
      </c>
      <c r="B22" s="44" t="s">
        <v>16</v>
      </c>
      <c r="C22" s="33">
        <v>0.16</v>
      </c>
    </row>
    <row r="23" spans="1:3" ht="16.5" thickBot="1" x14ac:dyDescent="0.3">
      <c r="A23" s="43"/>
      <c r="B23" s="39" t="s">
        <v>17</v>
      </c>
      <c r="C23" s="36">
        <f>SUM(C17:C22)</f>
        <v>0.88</v>
      </c>
    </row>
    <row r="24" spans="1:3" ht="16.5" thickBot="1" x14ac:dyDescent="0.3">
      <c r="A24" s="33"/>
      <c r="B24" s="45" t="s">
        <v>18</v>
      </c>
      <c r="C24" s="36">
        <f>ROUND((SUM(C15,C23)),2)</f>
        <v>9.6999999999999993</v>
      </c>
    </row>
    <row r="25" spans="1:3" ht="16.5" thickBot="1" x14ac:dyDescent="0.3">
      <c r="A25" s="264" t="s">
        <v>19</v>
      </c>
      <c r="B25" s="265"/>
      <c r="C25" s="46">
        <v>1</v>
      </c>
    </row>
    <row r="26" spans="1:3" ht="16.5" thickBot="1" x14ac:dyDescent="0.3">
      <c r="A26" s="252" t="s">
        <v>20</v>
      </c>
      <c r="B26" s="253"/>
      <c r="C26" s="47">
        <f>C24</f>
        <v>9.6999999999999993</v>
      </c>
    </row>
    <row r="27" spans="1:3" ht="16.5" thickBot="1" x14ac:dyDescent="0.3">
      <c r="A27" s="252" t="s">
        <v>21</v>
      </c>
      <c r="B27" s="253"/>
      <c r="C27" s="48">
        <v>3800</v>
      </c>
    </row>
    <row r="28" spans="1:3" ht="16.5" thickBot="1" x14ac:dyDescent="0.3">
      <c r="A28" s="252" t="s">
        <v>22</v>
      </c>
      <c r="B28" s="253"/>
      <c r="C28" s="47">
        <f>C27*C26</f>
        <v>36860</v>
      </c>
    </row>
  </sheetData>
  <mergeCells count="4">
    <mergeCell ref="A27:B27"/>
    <mergeCell ref="A28:B28"/>
    <mergeCell ref="A25:B25"/>
    <mergeCell ref="A26:B26"/>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1E39-C06D-438E-839E-FA334AC13BB3}">
  <sheetPr>
    <tabColor theme="9" tint="0.79998168889431442"/>
  </sheetPr>
  <dimension ref="A1:C29"/>
  <sheetViews>
    <sheetView topLeftCell="A11"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106</v>
      </c>
      <c r="C2" s="30"/>
    </row>
    <row r="3" spans="1:3" ht="15.75" x14ac:dyDescent="0.25">
      <c r="A3" s="31"/>
      <c r="B3" s="29" t="s">
        <v>108</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79.5" thickBot="1" x14ac:dyDescent="0.3">
      <c r="A10" s="33">
        <v>1100</v>
      </c>
      <c r="B10" s="35" t="s">
        <v>32</v>
      </c>
      <c r="C10" s="36">
        <f>12.97*0.667</f>
        <v>8.6509900000000002</v>
      </c>
    </row>
    <row r="11" spans="1:3" ht="79.5" thickBot="1" x14ac:dyDescent="0.3">
      <c r="A11" s="33">
        <v>1100</v>
      </c>
      <c r="B11" s="35" t="s">
        <v>33</v>
      </c>
      <c r="C11" s="36">
        <f>12.97*1.333</f>
        <v>17.289010000000001</v>
      </c>
    </row>
    <row r="12" spans="1:3" ht="79.5" thickBot="1" x14ac:dyDescent="0.3">
      <c r="A12" s="33">
        <v>1100</v>
      </c>
      <c r="B12" s="35" t="s">
        <v>34</v>
      </c>
      <c r="C12" s="36">
        <f>12.97*0.333</f>
        <v>4.3190100000000005</v>
      </c>
    </row>
    <row r="13" spans="1:3" ht="16.5" thickBot="1" x14ac:dyDescent="0.3">
      <c r="A13" s="38">
        <v>2310</v>
      </c>
      <c r="B13" s="35" t="s">
        <v>27</v>
      </c>
      <c r="C13" s="36">
        <v>1.19</v>
      </c>
    </row>
    <row r="14" spans="1:3" ht="16.5" thickBot="1" x14ac:dyDescent="0.3">
      <c r="A14" s="38">
        <v>2250</v>
      </c>
      <c r="B14" s="35" t="s">
        <v>28</v>
      </c>
      <c r="C14" s="36">
        <v>0.31</v>
      </c>
    </row>
    <row r="15" spans="1:3" ht="16.5" thickBot="1" x14ac:dyDescent="0.3">
      <c r="A15" s="38">
        <v>2322</v>
      </c>
      <c r="B15" s="35" t="s">
        <v>29</v>
      </c>
      <c r="C15" s="36">
        <v>2.84</v>
      </c>
    </row>
    <row r="16" spans="1:3" ht="16.5" thickBot="1" x14ac:dyDescent="0.3">
      <c r="A16" s="34"/>
      <c r="B16" s="39" t="s">
        <v>8</v>
      </c>
      <c r="C16" s="36">
        <f>SUM(C10:C15)</f>
        <v>34.599010000000007</v>
      </c>
    </row>
    <row r="17" spans="1:3" ht="16.5" thickBot="1" x14ac:dyDescent="0.3">
      <c r="A17" s="34"/>
      <c r="B17" s="33" t="s">
        <v>9</v>
      </c>
      <c r="C17" s="33" t="s">
        <v>4</v>
      </c>
    </row>
    <row r="18" spans="1:3" ht="16.5" thickBot="1" x14ac:dyDescent="0.3">
      <c r="A18" s="38">
        <v>1100</v>
      </c>
      <c r="B18" s="40" t="s">
        <v>30</v>
      </c>
      <c r="C18" s="33">
        <v>0.6</v>
      </c>
    </row>
    <row r="19" spans="1:3" ht="16.5" thickBot="1" x14ac:dyDescent="0.3">
      <c r="A19" s="38">
        <v>2210</v>
      </c>
      <c r="B19" s="40" t="s">
        <v>11</v>
      </c>
      <c r="C19" s="33">
        <v>0.2</v>
      </c>
    </row>
    <row r="20" spans="1:3" ht="16.5" thickBot="1" x14ac:dyDescent="0.3">
      <c r="A20" s="38">
        <v>2242</v>
      </c>
      <c r="B20" s="40" t="s">
        <v>31</v>
      </c>
      <c r="C20" s="33">
        <v>0.59</v>
      </c>
    </row>
    <row r="21" spans="1:3" ht="16.5" thickBot="1" x14ac:dyDescent="0.3">
      <c r="A21" s="41">
        <v>2250</v>
      </c>
      <c r="B21" s="42" t="s">
        <v>14</v>
      </c>
      <c r="C21" s="33">
        <v>1.07</v>
      </c>
    </row>
    <row r="22" spans="1:3" ht="16.5" thickBot="1" x14ac:dyDescent="0.3">
      <c r="A22" s="38">
        <v>2310</v>
      </c>
      <c r="B22" s="40" t="s">
        <v>15</v>
      </c>
      <c r="C22" s="33">
        <v>0.38</v>
      </c>
    </row>
    <row r="23" spans="1:3" ht="16.5" thickBot="1" x14ac:dyDescent="0.3">
      <c r="A23" s="43">
        <v>5200</v>
      </c>
      <c r="B23" s="44" t="s">
        <v>16</v>
      </c>
      <c r="C23" s="33">
        <v>0.63</v>
      </c>
    </row>
    <row r="24" spans="1:3" ht="16.5" thickBot="1" x14ac:dyDescent="0.3">
      <c r="A24" s="43"/>
      <c r="B24" s="39" t="s">
        <v>17</v>
      </c>
      <c r="C24" s="36">
        <f>SUM(C18:C23)</f>
        <v>3.4699999999999998</v>
      </c>
    </row>
    <row r="25" spans="1:3" ht="16.5" thickBot="1" x14ac:dyDescent="0.3">
      <c r="A25" s="33"/>
      <c r="B25" s="45" t="s">
        <v>18</v>
      </c>
      <c r="C25" s="36">
        <f>ROUND((SUM(C16,C24)),2)</f>
        <v>38.07</v>
      </c>
    </row>
    <row r="26" spans="1:3" ht="16.5" thickBot="1" x14ac:dyDescent="0.3">
      <c r="A26" s="264" t="s">
        <v>19</v>
      </c>
      <c r="B26" s="265"/>
      <c r="C26" s="46">
        <v>1</v>
      </c>
    </row>
    <row r="27" spans="1:3" ht="16.5" thickBot="1" x14ac:dyDescent="0.3">
      <c r="A27" s="252" t="s">
        <v>20</v>
      </c>
      <c r="B27" s="253"/>
      <c r="C27" s="47">
        <f>C25</f>
        <v>38.07</v>
      </c>
    </row>
    <row r="28" spans="1:3" ht="16.5" thickBot="1" x14ac:dyDescent="0.3">
      <c r="A28" s="252" t="s">
        <v>21</v>
      </c>
      <c r="B28" s="253"/>
      <c r="C28" s="48">
        <v>40</v>
      </c>
    </row>
    <row r="29" spans="1:3" ht="16.5" thickBot="1" x14ac:dyDescent="0.3">
      <c r="A29" s="252" t="s">
        <v>22</v>
      </c>
      <c r="B29" s="253"/>
      <c r="C29" s="47">
        <f>C28*C27</f>
        <v>1522.8</v>
      </c>
    </row>
  </sheetData>
  <mergeCells count="4">
    <mergeCell ref="A26:B26"/>
    <mergeCell ref="A27:B27"/>
    <mergeCell ref="A28:B28"/>
    <mergeCell ref="A29:B29"/>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1F96-C21F-4DD2-885D-A8153F8372E3}">
  <sheetPr>
    <tabColor theme="9" tint="0.79998168889431442"/>
  </sheetPr>
  <dimension ref="A1:C45"/>
  <sheetViews>
    <sheetView topLeftCell="A27"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47.25" x14ac:dyDescent="0.25">
      <c r="A2" s="31" t="s">
        <v>68</v>
      </c>
      <c r="B2" s="49" t="s">
        <v>109</v>
      </c>
      <c r="C2" s="29"/>
    </row>
    <row r="3" spans="1:3" ht="15.75" x14ac:dyDescent="0.25">
      <c r="A3" s="31"/>
      <c r="B3" s="252" t="s">
        <v>110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5" t="s">
        <v>35</v>
      </c>
      <c r="C10" s="33"/>
    </row>
    <row r="11" spans="1:3" ht="79.5" thickBot="1" x14ac:dyDescent="0.3">
      <c r="A11" s="33">
        <v>1100</v>
      </c>
      <c r="B11" s="35" t="s">
        <v>36</v>
      </c>
      <c r="C11" s="36">
        <f>ROUND((12.97*0.075),2)</f>
        <v>0.97</v>
      </c>
    </row>
    <row r="12" spans="1:3" ht="16.5" thickBot="1" x14ac:dyDescent="0.3">
      <c r="A12" s="38">
        <v>2310</v>
      </c>
      <c r="B12" s="35" t="s">
        <v>37</v>
      </c>
      <c r="C12" s="36">
        <v>1.27</v>
      </c>
    </row>
    <row r="13" spans="1:3" ht="16.5" thickBot="1" x14ac:dyDescent="0.3">
      <c r="A13" s="38">
        <v>2223</v>
      </c>
      <c r="B13" s="35" t="s">
        <v>38</v>
      </c>
      <c r="C13" s="36">
        <v>0.13</v>
      </c>
    </row>
    <row r="14" spans="1:3" ht="16.5" thickBot="1" x14ac:dyDescent="0.3">
      <c r="A14" s="33"/>
      <c r="B14" s="39" t="s">
        <v>39</v>
      </c>
      <c r="C14" s="36">
        <f>SUM(C11:C13)</f>
        <v>2.37</v>
      </c>
    </row>
    <row r="15" spans="1:3" ht="16.5" thickBot="1" x14ac:dyDescent="0.3">
      <c r="A15" s="33"/>
      <c r="B15" s="35" t="s">
        <v>40</v>
      </c>
      <c r="C15" s="36"/>
    </row>
    <row r="16" spans="1:3" ht="16.5" thickBot="1" x14ac:dyDescent="0.3">
      <c r="A16" s="50"/>
      <c r="B16" s="51" t="s">
        <v>41</v>
      </c>
      <c r="C16" s="36"/>
    </row>
    <row r="17" spans="1:3" ht="79.5" thickBot="1" x14ac:dyDescent="0.3">
      <c r="A17" s="33">
        <v>1100</v>
      </c>
      <c r="B17" s="37" t="s">
        <v>42</v>
      </c>
      <c r="C17" s="36">
        <f>ROUND((12.97*0.26),2)</f>
        <v>3.37</v>
      </c>
    </row>
    <row r="18" spans="1:3" ht="16.5" thickBot="1" x14ac:dyDescent="0.3">
      <c r="A18" s="52" t="s">
        <v>43</v>
      </c>
      <c r="B18" s="35" t="s">
        <v>44</v>
      </c>
      <c r="C18" s="36">
        <v>1.84</v>
      </c>
    </row>
    <row r="19" spans="1:3" ht="16.5" thickBot="1" x14ac:dyDescent="0.3">
      <c r="A19" s="33"/>
      <c r="B19" s="51" t="s">
        <v>45</v>
      </c>
      <c r="C19" s="36"/>
    </row>
    <row r="20" spans="1:3" ht="79.5" thickBot="1" x14ac:dyDescent="0.3">
      <c r="A20" s="33">
        <v>1100</v>
      </c>
      <c r="B20" s="37" t="s">
        <v>46</v>
      </c>
      <c r="C20" s="36">
        <f>ROUND((12.977*0.033),2)</f>
        <v>0.43</v>
      </c>
    </row>
    <row r="21" spans="1:3" ht="16.5" thickBot="1" x14ac:dyDescent="0.3">
      <c r="A21" s="52" t="s">
        <v>43</v>
      </c>
      <c r="B21" s="35" t="s">
        <v>47</v>
      </c>
      <c r="C21" s="36">
        <v>0.23499999999999999</v>
      </c>
    </row>
    <row r="22" spans="1:3" ht="16.5" thickBot="1" x14ac:dyDescent="0.3">
      <c r="A22" s="33"/>
      <c r="B22" s="51" t="s">
        <v>48</v>
      </c>
      <c r="C22" s="36"/>
    </row>
    <row r="23" spans="1:3" ht="79.5" thickBot="1" x14ac:dyDescent="0.3">
      <c r="A23" s="33">
        <v>1100</v>
      </c>
      <c r="B23" s="37" t="s">
        <v>46</v>
      </c>
      <c r="C23" s="36">
        <f>ROUND((12.97*0.033),2)</f>
        <v>0.43</v>
      </c>
    </row>
    <row r="24" spans="1:3" ht="16.5" thickBot="1" x14ac:dyDescent="0.3">
      <c r="A24" s="52" t="s">
        <v>43</v>
      </c>
      <c r="B24" s="35" t="s">
        <v>49</v>
      </c>
      <c r="C24" s="36">
        <v>0.16</v>
      </c>
    </row>
    <row r="25" spans="1:3" ht="16.5" thickBot="1" x14ac:dyDescent="0.3">
      <c r="A25" s="34"/>
      <c r="B25" s="39" t="s">
        <v>50</v>
      </c>
      <c r="C25" s="36">
        <f>ROUND((SUM(C17:C24)),2)</f>
        <v>6.47</v>
      </c>
    </row>
    <row r="26" spans="1:3" ht="16.5" thickBot="1" x14ac:dyDescent="0.3">
      <c r="A26" s="34"/>
      <c r="B26" s="35" t="s">
        <v>51</v>
      </c>
      <c r="C26" s="36"/>
    </row>
    <row r="27" spans="1:3" ht="79.5" thickBot="1" x14ac:dyDescent="0.3">
      <c r="A27" s="33">
        <v>1100</v>
      </c>
      <c r="B27" s="37" t="s">
        <v>52</v>
      </c>
      <c r="C27" s="36">
        <f>ROUND((12.97*0.038),2)</f>
        <v>0.49</v>
      </c>
    </row>
    <row r="28" spans="1:3" ht="79.5" thickBot="1" x14ac:dyDescent="0.3">
      <c r="A28" s="33">
        <v>1100</v>
      </c>
      <c r="B28" s="37" t="s">
        <v>53</v>
      </c>
      <c r="C28" s="36">
        <f>ROUND((19.58*0.038),2)</f>
        <v>0.74</v>
      </c>
    </row>
    <row r="29" spans="1:3" ht="16.5" thickBot="1" x14ac:dyDescent="0.3">
      <c r="A29" s="33">
        <v>2239</v>
      </c>
      <c r="B29" s="37" t="s">
        <v>54</v>
      </c>
      <c r="C29" s="36">
        <v>0.17</v>
      </c>
    </row>
    <row r="30" spans="1:3" ht="16.5" thickBot="1" x14ac:dyDescent="0.3">
      <c r="A30" s="33">
        <v>2250</v>
      </c>
      <c r="B30" s="37" t="s">
        <v>28</v>
      </c>
      <c r="C30" s="36">
        <v>0.61</v>
      </c>
    </row>
    <row r="31" spans="1:3" ht="16.5" thickBot="1" x14ac:dyDescent="0.3">
      <c r="A31" s="34"/>
      <c r="B31" s="39" t="s">
        <v>55</v>
      </c>
      <c r="C31" s="36">
        <f>SUM(C27:C30)</f>
        <v>2.0099999999999998</v>
      </c>
    </row>
    <row r="32" spans="1:3" ht="16.5" thickBot="1" x14ac:dyDescent="0.3">
      <c r="A32" s="34"/>
      <c r="B32" s="39" t="s">
        <v>8</v>
      </c>
      <c r="C32" s="36">
        <f>SUM(C14,C25,C31)</f>
        <v>10.85</v>
      </c>
    </row>
    <row r="33" spans="1:3" ht="16.5" thickBot="1" x14ac:dyDescent="0.3">
      <c r="A33" s="34"/>
      <c r="B33" s="33" t="s">
        <v>9</v>
      </c>
      <c r="C33" s="36" t="s">
        <v>4</v>
      </c>
    </row>
    <row r="34" spans="1:3" ht="16.5" thickBot="1" x14ac:dyDescent="0.3">
      <c r="A34" s="38">
        <v>1100</v>
      </c>
      <c r="B34" s="40" t="s">
        <v>30</v>
      </c>
      <c r="C34" s="36">
        <v>0.08</v>
      </c>
    </row>
    <row r="35" spans="1:3" ht="16.5" thickBot="1" x14ac:dyDescent="0.3">
      <c r="A35" s="38">
        <v>2220</v>
      </c>
      <c r="B35" s="40" t="s">
        <v>12</v>
      </c>
      <c r="C35" s="36">
        <v>0.11</v>
      </c>
    </row>
    <row r="36" spans="1:3" ht="16.5" thickBot="1" x14ac:dyDescent="0.3">
      <c r="A36" s="38">
        <v>2240</v>
      </c>
      <c r="B36" s="40" t="s">
        <v>56</v>
      </c>
      <c r="C36" s="36">
        <v>0.28000000000000003</v>
      </c>
    </row>
    <row r="37" spans="1:3" ht="16.5" thickBot="1" x14ac:dyDescent="0.3">
      <c r="A37" s="38">
        <v>2310</v>
      </c>
      <c r="B37" s="40" t="s">
        <v>15</v>
      </c>
      <c r="C37" s="36">
        <v>0.05</v>
      </c>
    </row>
    <row r="38" spans="1:3" ht="16.5" thickBot="1" x14ac:dyDescent="0.3">
      <c r="A38" s="38">
        <v>2340</v>
      </c>
      <c r="B38" s="40" t="s">
        <v>57</v>
      </c>
      <c r="C38" s="36">
        <v>0.11</v>
      </c>
    </row>
    <row r="39" spans="1:3" ht="16.5" thickBot="1" x14ac:dyDescent="0.3">
      <c r="A39" s="43">
        <v>5200</v>
      </c>
      <c r="B39" s="44" t="s">
        <v>16</v>
      </c>
      <c r="C39" s="36">
        <v>0.46</v>
      </c>
    </row>
    <row r="40" spans="1:3" ht="16.5" thickBot="1" x14ac:dyDescent="0.3">
      <c r="A40" s="34"/>
      <c r="B40" s="39" t="s">
        <v>17</v>
      </c>
      <c r="C40" s="36">
        <f>SUM(C34:C39)</f>
        <v>1.0900000000000001</v>
      </c>
    </row>
    <row r="41" spans="1:3" ht="16.5" thickBot="1" x14ac:dyDescent="0.3">
      <c r="A41" s="33"/>
      <c r="B41" s="45" t="s">
        <v>18</v>
      </c>
      <c r="C41" s="36">
        <f>ROUND((SUM(C32,C40)),2)</f>
        <v>11.94</v>
      </c>
    </row>
    <row r="42" spans="1:3" ht="16.5" thickBot="1" x14ac:dyDescent="0.3">
      <c r="A42" s="252" t="s">
        <v>19</v>
      </c>
      <c r="B42" s="253"/>
      <c r="C42" s="47">
        <v>1</v>
      </c>
    </row>
    <row r="43" spans="1:3" ht="16.5" thickBot="1" x14ac:dyDescent="0.3">
      <c r="A43" s="252" t="s">
        <v>20</v>
      </c>
      <c r="B43" s="253"/>
      <c r="C43" s="47">
        <f>C41</f>
        <v>11.94</v>
      </c>
    </row>
    <row r="44" spans="1:3" ht="16.5" thickBot="1" x14ac:dyDescent="0.3">
      <c r="A44" s="252" t="s">
        <v>21</v>
      </c>
      <c r="B44" s="253"/>
      <c r="C44" s="48">
        <v>6000</v>
      </c>
    </row>
    <row r="45" spans="1:3" ht="16.5" thickBot="1" x14ac:dyDescent="0.3">
      <c r="A45" s="252" t="s">
        <v>22</v>
      </c>
      <c r="B45" s="253"/>
      <c r="C45" s="47">
        <f>C44*C43</f>
        <v>71640</v>
      </c>
    </row>
  </sheetData>
  <mergeCells count="5">
    <mergeCell ref="A45:B45"/>
    <mergeCell ref="A42:B42"/>
    <mergeCell ref="A43:B43"/>
    <mergeCell ref="A44:B44"/>
    <mergeCell ref="B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0249-CEBC-49C1-9BB9-5D23F1697E81}">
  <sheetPr>
    <tabColor theme="9" tint="0.79998168889431442"/>
  </sheetPr>
  <dimension ref="A1:D52"/>
  <sheetViews>
    <sheetView topLeftCell="A30" zoomScale="85" zoomScaleNormal="85" workbookViewId="0">
      <selection activeCell="B54" sqref="B54"/>
    </sheetView>
  </sheetViews>
  <sheetFormatPr defaultRowHeight="15" x14ac:dyDescent="0.25"/>
  <cols>
    <col min="1" max="1" width="17.28515625" bestFit="1" customWidth="1"/>
    <col min="2" max="2" width="155.42578125" customWidth="1"/>
    <col min="3" max="3" width="25" customWidth="1"/>
  </cols>
  <sheetData>
    <row r="1" spans="1:3" ht="15.75" x14ac:dyDescent="0.25">
      <c r="A1" s="28" t="s">
        <v>66</v>
      </c>
      <c r="B1" s="29" t="s">
        <v>67</v>
      </c>
      <c r="C1" s="30"/>
    </row>
    <row r="2" spans="1:3" ht="47.25" x14ac:dyDescent="0.25">
      <c r="A2" s="31" t="s">
        <v>68</v>
      </c>
      <c r="B2" s="252" t="s">
        <v>509</v>
      </c>
      <c r="C2" s="252"/>
    </row>
    <row r="3" spans="1:3" ht="15.75" x14ac:dyDescent="0.25">
      <c r="A3" s="31"/>
      <c r="B3" s="32" t="s">
        <v>541</v>
      </c>
      <c r="C3" s="32"/>
    </row>
    <row r="4" spans="1:3" ht="15.75" x14ac:dyDescent="0.25">
      <c r="A4" s="31" t="s">
        <v>71</v>
      </c>
      <c r="B4" s="32" t="s">
        <v>203</v>
      </c>
      <c r="C4" s="32"/>
    </row>
    <row r="7" spans="1:3" ht="63" x14ac:dyDescent="0.25">
      <c r="A7" s="112" t="s">
        <v>0</v>
      </c>
      <c r="B7" s="112" t="s">
        <v>1</v>
      </c>
      <c r="C7" s="112" t="s">
        <v>2</v>
      </c>
    </row>
    <row r="8" spans="1:3" ht="15.75" x14ac:dyDescent="0.25">
      <c r="A8" s="112">
        <v>1</v>
      </c>
      <c r="B8" s="112">
        <v>2</v>
      </c>
      <c r="C8" s="112">
        <v>3</v>
      </c>
    </row>
    <row r="9" spans="1:3" ht="15.75" x14ac:dyDescent="0.25">
      <c r="A9" s="113"/>
      <c r="B9" s="112" t="s">
        <v>3</v>
      </c>
      <c r="C9" s="112" t="s">
        <v>4</v>
      </c>
    </row>
    <row r="10" spans="1:3" ht="15.75" x14ac:dyDescent="0.25">
      <c r="A10" s="123"/>
      <c r="B10" s="123" t="s">
        <v>512</v>
      </c>
      <c r="C10" s="123"/>
    </row>
    <row r="11" spans="1:3" ht="94.5" x14ac:dyDescent="0.25">
      <c r="A11" s="93">
        <v>1100</v>
      </c>
      <c r="B11" s="94" t="s">
        <v>513</v>
      </c>
      <c r="C11" s="115">
        <f>ROUND((10*0.083),2)</f>
        <v>0.83</v>
      </c>
    </row>
    <row r="12" spans="1:3" ht="78.75" x14ac:dyDescent="0.25">
      <c r="A12" s="93">
        <v>1100</v>
      </c>
      <c r="B12" s="94" t="s">
        <v>514</v>
      </c>
      <c r="C12" s="119">
        <f>10*1</f>
        <v>10</v>
      </c>
    </row>
    <row r="13" spans="1:3" ht="78.75" x14ac:dyDescent="0.25">
      <c r="A13" s="93">
        <v>1100</v>
      </c>
      <c r="B13" s="94" t="s">
        <v>515</v>
      </c>
      <c r="C13" s="115">
        <f>ROUND((10*0.667),2)</f>
        <v>6.67</v>
      </c>
    </row>
    <row r="14" spans="1:3" ht="15.75" x14ac:dyDescent="0.25">
      <c r="A14" s="93">
        <v>2322</v>
      </c>
      <c r="B14" s="94" t="s">
        <v>516</v>
      </c>
      <c r="C14" s="115">
        <v>7.79</v>
      </c>
    </row>
    <row r="15" spans="1:3" ht="15.75" x14ac:dyDescent="0.25">
      <c r="A15" s="93">
        <v>2310</v>
      </c>
      <c r="B15" s="94" t="s">
        <v>517</v>
      </c>
      <c r="C15" s="115">
        <v>1.37</v>
      </c>
    </row>
    <row r="16" spans="1:3" ht="15.75" x14ac:dyDescent="0.25">
      <c r="A16" s="93"/>
      <c r="B16" s="118" t="s">
        <v>518</v>
      </c>
      <c r="C16" s="115">
        <f>SUM(C11:C15)</f>
        <v>26.66</v>
      </c>
    </row>
    <row r="17" spans="1:3" ht="15.75" x14ac:dyDescent="0.25">
      <c r="A17" s="113"/>
      <c r="B17" s="114" t="s">
        <v>519</v>
      </c>
      <c r="C17" s="112"/>
    </row>
    <row r="18" spans="1:3" ht="94.5" x14ac:dyDescent="0.25">
      <c r="A18" s="93">
        <v>1100</v>
      </c>
      <c r="B18" s="114" t="s">
        <v>189</v>
      </c>
      <c r="C18" s="115">
        <f>ROUND((9.63*0.25),2)</f>
        <v>2.41</v>
      </c>
    </row>
    <row r="19" spans="1:3" ht="15.75" x14ac:dyDescent="0.25">
      <c r="A19" s="93">
        <v>2341</v>
      </c>
      <c r="B19" s="114" t="s">
        <v>190</v>
      </c>
      <c r="C19" s="112">
        <v>3.3</v>
      </c>
    </row>
    <row r="20" spans="1:3" ht="15.75" x14ac:dyDescent="0.25">
      <c r="A20" s="116">
        <v>2239</v>
      </c>
      <c r="B20" s="117" t="s">
        <v>191</v>
      </c>
      <c r="C20" s="112">
        <v>0.23</v>
      </c>
    </row>
    <row r="21" spans="1:3" ht="15.75" x14ac:dyDescent="0.25">
      <c r="A21" s="113"/>
      <c r="B21" s="118" t="s">
        <v>39</v>
      </c>
      <c r="C21" s="119">
        <f>SUM(C18:C20)</f>
        <v>5.94</v>
      </c>
    </row>
    <row r="22" spans="1:3" ht="15.75" x14ac:dyDescent="0.25">
      <c r="A22" s="113"/>
      <c r="B22" s="94" t="s">
        <v>520</v>
      </c>
      <c r="C22" s="120"/>
    </row>
    <row r="23" spans="1:3" ht="15.75" x14ac:dyDescent="0.25">
      <c r="A23" s="113"/>
      <c r="B23" s="121" t="s">
        <v>192</v>
      </c>
      <c r="C23" s="120"/>
    </row>
    <row r="24" spans="1:3" ht="94.5" x14ac:dyDescent="0.25">
      <c r="A24" s="93">
        <v>1100</v>
      </c>
      <c r="B24" s="94" t="s">
        <v>532</v>
      </c>
      <c r="C24" s="119">
        <f>ROUND((9.63*0.5),2)</f>
        <v>4.82</v>
      </c>
    </row>
    <row r="25" spans="1:3" ht="15.75" x14ac:dyDescent="0.25">
      <c r="A25" s="93">
        <v>2341</v>
      </c>
      <c r="B25" s="94" t="s">
        <v>221</v>
      </c>
      <c r="C25" s="120">
        <v>0.38</v>
      </c>
    </row>
    <row r="26" spans="1:3" ht="15.75" x14ac:dyDescent="0.25">
      <c r="A26" s="113"/>
      <c r="B26" s="121" t="s">
        <v>195</v>
      </c>
      <c r="C26" s="120"/>
    </row>
    <row r="27" spans="1:3" ht="94.5" x14ac:dyDescent="0.25">
      <c r="A27" s="93">
        <v>1100</v>
      </c>
      <c r="B27" s="94" t="s">
        <v>533</v>
      </c>
      <c r="C27" s="119">
        <f>ROUND((9.63*0.75),2)</f>
        <v>7.22</v>
      </c>
    </row>
    <row r="28" spans="1:3" ht="15.75" x14ac:dyDescent="0.25">
      <c r="A28" s="93">
        <v>2341</v>
      </c>
      <c r="B28" s="94" t="s">
        <v>194</v>
      </c>
      <c r="C28" s="120">
        <v>2.9</v>
      </c>
    </row>
    <row r="29" spans="1:3" ht="15.75" x14ac:dyDescent="0.25">
      <c r="A29" s="93"/>
      <c r="B29" s="121" t="s">
        <v>78</v>
      </c>
      <c r="C29" s="120"/>
    </row>
    <row r="30" spans="1:3" ht="94.5" x14ac:dyDescent="0.25">
      <c r="A30" s="93">
        <v>1100</v>
      </c>
      <c r="B30" s="94" t="s">
        <v>535</v>
      </c>
      <c r="C30" s="119">
        <f>ROUND((9.63*0.333),2)</f>
        <v>3.21</v>
      </c>
    </row>
    <row r="31" spans="1:3" ht="15.75" x14ac:dyDescent="0.25">
      <c r="A31" s="113"/>
      <c r="B31" s="118" t="s">
        <v>50</v>
      </c>
      <c r="C31" s="119">
        <f>SUM(C24:C30)</f>
        <v>18.53</v>
      </c>
    </row>
    <row r="32" spans="1:3" ht="15.75" x14ac:dyDescent="0.25">
      <c r="A32" s="123"/>
      <c r="B32" s="123" t="s">
        <v>523</v>
      </c>
      <c r="C32" s="120"/>
    </row>
    <row r="33" spans="1:4" ht="94.5" x14ac:dyDescent="0.25">
      <c r="A33" s="93">
        <v>1100</v>
      </c>
      <c r="B33" s="94" t="s">
        <v>200</v>
      </c>
      <c r="C33" s="119">
        <f>ROUND((12.97*0.083),2)</f>
        <v>1.08</v>
      </c>
    </row>
    <row r="34" spans="1:4" ht="15.75" x14ac:dyDescent="0.25">
      <c r="A34" s="113"/>
      <c r="B34" s="118" t="s">
        <v>55</v>
      </c>
      <c r="C34" s="119">
        <f>C33</f>
        <v>1.08</v>
      </c>
    </row>
    <row r="35" spans="1:4" ht="15.75" x14ac:dyDescent="0.25">
      <c r="A35" s="113"/>
      <c r="B35" s="118" t="s">
        <v>8</v>
      </c>
      <c r="C35" s="119">
        <f>SUM(C16,C21,C31,C34)</f>
        <v>52.21</v>
      </c>
    </row>
    <row r="36" spans="1:4" ht="15.75" x14ac:dyDescent="0.25">
      <c r="A36" s="113"/>
      <c r="B36" s="112" t="s">
        <v>9</v>
      </c>
      <c r="C36" s="112" t="s">
        <v>4</v>
      </c>
    </row>
    <row r="37" spans="1:4" ht="15.75" x14ac:dyDescent="0.25">
      <c r="A37" s="112">
        <v>1100</v>
      </c>
      <c r="B37" s="124" t="s">
        <v>10</v>
      </c>
      <c r="C37" s="115">
        <v>0.5</v>
      </c>
    </row>
    <row r="38" spans="1:4" ht="15.75" x14ac:dyDescent="0.25">
      <c r="A38" s="125">
        <v>2210</v>
      </c>
      <c r="B38" s="126" t="s">
        <v>11</v>
      </c>
      <c r="C38" s="120">
        <v>0.17</v>
      </c>
    </row>
    <row r="39" spans="1:4" ht="15.75" x14ac:dyDescent="0.25">
      <c r="A39" s="125">
        <v>2220</v>
      </c>
      <c r="B39" s="126" t="s">
        <v>12</v>
      </c>
      <c r="C39" s="112">
        <v>0.64</v>
      </c>
    </row>
    <row r="40" spans="1:4" ht="15.75" x14ac:dyDescent="0.25">
      <c r="A40" s="125">
        <v>2240</v>
      </c>
      <c r="B40" s="126" t="s">
        <v>56</v>
      </c>
      <c r="C40" s="112">
        <v>1.71</v>
      </c>
    </row>
    <row r="41" spans="1:4" ht="15.75" x14ac:dyDescent="0.25">
      <c r="A41" s="125">
        <v>2310</v>
      </c>
      <c r="B41" s="126" t="s">
        <v>15</v>
      </c>
      <c r="C41" s="115">
        <v>0.31</v>
      </c>
    </row>
    <row r="42" spans="1:4" ht="15.75" x14ac:dyDescent="0.25">
      <c r="A42" s="120">
        <v>5200</v>
      </c>
      <c r="B42" s="127" t="s">
        <v>201</v>
      </c>
      <c r="C42" s="115">
        <v>0.32</v>
      </c>
    </row>
    <row r="43" spans="1:4" ht="15.75" x14ac:dyDescent="0.25">
      <c r="A43" s="113"/>
      <c r="B43" s="118" t="s">
        <v>17</v>
      </c>
      <c r="C43" s="115">
        <f>SUM(C37:C42)</f>
        <v>3.65</v>
      </c>
    </row>
    <row r="44" spans="1:4" ht="15.75" x14ac:dyDescent="0.25">
      <c r="A44" s="112"/>
      <c r="B44" s="128" t="s">
        <v>18</v>
      </c>
      <c r="C44" s="115">
        <f>SUM(C35,C43)</f>
        <v>55.86</v>
      </c>
      <c r="D44" s="171"/>
    </row>
    <row r="45" spans="1:4" ht="15.75" x14ac:dyDescent="0.25">
      <c r="A45" s="258" t="s">
        <v>19</v>
      </c>
      <c r="B45" s="258"/>
      <c r="C45" s="120">
        <v>1</v>
      </c>
    </row>
    <row r="46" spans="1:4" ht="15.75" x14ac:dyDescent="0.25">
      <c r="A46" s="258" t="s">
        <v>20</v>
      </c>
      <c r="B46" s="258"/>
      <c r="C46" s="119">
        <f>C44</f>
        <v>55.86</v>
      </c>
    </row>
    <row r="47" spans="1:4" ht="15.75" x14ac:dyDescent="0.25">
      <c r="A47" s="258" t="s">
        <v>21</v>
      </c>
      <c r="B47" s="258"/>
      <c r="C47" s="120">
        <v>98</v>
      </c>
    </row>
    <row r="48" spans="1:4" ht="15.75" x14ac:dyDescent="0.25">
      <c r="A48" s="258" t="s">
        <v>22</v>
      </c>
      <c r="B48" s="258"/>
      <c r="C48" s="119">
        <f>C47*C46</f>
        <v>5474.28</v>
      </c>
    </row>
    <row r="49" spans="2:3" ht="15.75" x14ac:dyDescent="0.25">
      <c r="C49" s="246">
        <v>27.04</v>
      </c>
    </row>
    <row r="50" spans="2:3" ht="15.75" x14ac:dyDescent="0.25">
      <c r="C50" s="245">
        <v>98</v>
      </c>
    </row>
    <row r="51" spans="2:3" ht="15.75" x14ac:dyDescent="0.25">
      <c r="C51" s="245">
        <f>C49*C50</f>
        <v>2649.92</v>
      </c>
    </row>
    <row r="52" spans="2:3" ht="47.25" x14ac:dyDescent="0.25">
      <c r="B52" s="248" t="s">
        <v>708</v>
      </c>
    </row>
  </sheetData>
  <mergeCells count="5">
    <mergeCell ref="B2:C2"/>
    <mergeCell ref="A45:B45"/>
    <mergeCell ref="A46:B46"/>
    <mergeCell ref="A47:B47"/>
    <mergeCell ref="A48:B48"/>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DCB4-AED4-467E-A23D-94238DC4823D}">
  <sheetPr>
    <tabColor theme="9" tint="0.79998168889431442"/>
  </sheetPr>
  <dimension ref="A1:C45"/>
  <sheetViews>
    <sheetView topLeftCell="A24"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47.25" x14ac:dyDescent="0.25">
      <c r="A2" s="31" t="s">
        <v>68</v>
      </c>
      <c r="B2" s="49" t="s">
        <v>109</v>
      </c>
      <c r="C2" s="29"/>
    </row>
    <row r="3" spans="1:3" ht="15.75" x14ac:dyDescent="0.25">
      <c r="A3" s="31"/>
      <c r="B3" s="252" t="s">
        <v>111</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5" t="s">
        <v>35</v>
      </c>
      <c r="C10" s="33"/>
    </row>
    <row r="11" spans="1:3" ht="79.5" thickBot="1" x14ac:dyDescent="0.3">
      <c r="A11" s="33">
        <v>1100</v>
      </c>
      <c r="B11" s="35" t="s">
        <v>58</v>
      </c>
      <c r="C11" s="36">
        <v>0.57999999999999996</v>
      </c>
    </row>
    <row r="12" spans="1:3" ht="16.5" thickBot="1" x14ac:dyDescent="0.3">
      <c r="A12" s="38">
        <v>2310</v>
      </c>
      <c r="B12" s="35" t="s">
        <v>37</v>
      </c>
      <c r="C12" s="36">
        <v>1.27</v>
      </c>
    </row>
    <row r="13" spans="1:3" ht="16.5" thickBot="1" x14ac:dyDescent="0.3">
      <c r="A13" s="38">
        <v>2223</v>
      </c>
      <c r="B13" s="35" t="s">
        <v>38</v>
      </c>
      <c r="C13" s="36">
        <v>0.13</v>
      </c>
    </row>
    <row r="14" spans="1:3" ht="16.5" thickBot="1" x14ac:dyDescent="0.3">
      <c r="A14" s="33"/>
      <c r="B14" s="39" t="s">
        <v>39</v>
      </c>
      <c r="C14" s="36">
        <f>SUM(C11:C13)</f>
        <v>1.98</v>
      </c>
    </row>
    <row r="15" spans="1:3" ht="16.5" thickBot="1" x14ac:dyDescent="0.3">
      <c r="A15" s="33"/>
      <c r="B15" s="35" t="s">
        <v>40</v>
      </c>
      <c r="C15" s="36"/>
    </row>
    <row r="16" spans="1:3" ht="16.5" thickBot="1" x14ac:dyDescent="0.3">
      <c r="A16" s="50"/>
      <c r="B16" s="51" t="s">
        <v>41</v>
      </c>
      <c r="C16" s="36"/>
    </row>
    <row r="17" spans="1:3" ht="79.5" thickBot="1" x14ac:dyDescent="0.3">
      <c r="A17" s="33">
        <v>1100</v>
      </c>
      <c r="B17" s="37" t="s">
        <v>59</v>
      </c>
      <c r="C17" s="36">
        <v>0.93</v>
      </c>
    </row>
    <row r="18" spans="1:3" ht="16.5" thickBot="1" x14ac:dyDescent="0.3">
      <c r="A18" s="52" t="s">
        <v>43</v>
      </c>
      <c r="B18" s="35" t="s">
        <v>44</v>
      </c>
      <c r="C18" s="36">
        <v>1.84</v>
      </c>
    </row>
    <row r="19" spans="1:3" ht="16.5" thickBot="1" x14ac:dyDescent="0.3">
      <c r="A19" s="33"/>
      <c r="B19" s="51" t="s">
        <v>45</v>
      </c>
      <c r="C19" s="36"/>
    </row>
    <row r="20" spans="1:3" ht="79.5" thickBot="1" x14ac:dyDescent="0.3">
      <c r="A20" s="33">
        <v>1100</v>
      </c>
      <c r="B20" s="37" t="s">
        <v>46</v>
      </c>
      <c r="C20" s="36">
        <v>0.43</v>
      </c>
    </row>
    <row r="21" spans="1:3" ht="16.5" thickBot="1" x14ac:dyDescent="0.3">
      <c r="A21" s="52" t="s">
        <v>43</v>
      </c>
      <c r="B21" s="35" t="s">
        <v>47</v>
      </c>
      <c r="C21" s="36">
        <v>0.24</v>
      </c>
    </row>
    <row r="22" spans="1:3" ht="16.5" thickBot="1" x14ac:dyDescent="0.3">
      <c r="A22" s="33"/>
      <c r="B22" s="51" t="s">
        <v>48</v>
      </c>
      <c r="C22" s="36"/>
    </row>
    <row r="23" spans="1:3" ht="79.5" thickBot="1" x14ac:dyDescent="0.3">
      <c r="A23" s="33">
        <v>1100</v>
      </c>
      <c r="B23" s="37" t="s">
        <v>46</v>
      </c>
      <c r="C23" s="36">
        <v>0.43</v>
      </c>
    </row>
    <row r="24" spans="1:3" ht="16.5" thickBot="1" x14ac:dyDescent="0.3">
      <c r="A24" s="52" t="s">
        <v>43</v>
      </c>
      <c r="B24" s="35" t="s">
        <v>49</v>
      </c>
      <c r="C24" s="36">
        <v>0.16</v>
      </c>
    </row>
    <row r="25" spans="1:3" ht="16.5" thickBot="1" x14ac:dyDescent="0.3">
      <c r="A25" s="34"/>
      <c r="B25" s="39" t="s">
        <v>50</v>
      </c>
      <c r="C25" s="36">
        <f>ROUND((SUM(C17:C24)),2)</f>
        <v>4.03</v>
      </c>
    </row>
    <row r="26" spans="1:3" ht="16.5" thickBot="1" x14ac:dyDescent="0.3">
      <c r="A26" s="34"/>
      <c r="B26" s="35" t="s">
        <v>51</v>
      </c>
      <c r="C26" s="36"/>
    </row>
    <row r="27" spans="1:3" ht="79.5" thickBot="1" x14ac:dyDescent="0.3">
      <c r="A27" s="33">
        <v>1100</v>
      </c>
      <c r="B27" s="37" t="s">
        <v>60</v>
      </c>
      <c r="C27" s="36">
        <f>ROUND((12.97*0.03),2)</f>
        <v>0.39</v>
      </c>
    </row>
    <row r="28" spans="1:3" ht="79.5" thickBot="1" x14ac:dyDescent="0.3">
      <c r="A28" s="33">
        <v>1100</v>
      </c>
      <c r="B28" s="37" t="s">
        <v>61</v>
      </c>
      <c r="C28" s="36">
        <f>ROUND((19.58*0.03),2)</f>
        <v>0.59</v>
      </c>
    </row>
    <row r="29" spans="1:3" ht="16.5" thickBot="1" x14ac:dyDescent="0.3">
      <c r="A29" s="33">
        <v>2239</v>
      </c>
      <c r="B29" s="37" t="s">
        <v>54</v>
      </c>
      <c r="C29" s="36">
        <v>0.17</v>
      </c>
    </row>
    <row r="30" spans="1:3" ht="16.5" thickBot="1" x14ac:dyDescent="0.3">
      <c r="A30" s="33">
        <v>2250</v>
      </c>
      <c r="B30" s="37" t="s">
        <v>28</v>
      </c>
      <c r="C30" s="36">
        <v>0.61</v>
      </c>
    </row>
    <row r="31" spans="1:3" ht="16.5" thickBot="1" x14ac:dyDescent="0.3">
      <c r="A31" s="34"/>
      <c r="B31" s="39" t="s">
        <v>55</v>
      </c>
      <c r="C31" s="36">
        <f>SUM(C27:C30)</f>
        <v>1.7599999999999998</v>
      </c>
    </row>
    <row r="32" spans="1:3" ht="16.5" thickBot="1" x14ac:dyDescent="0.3">
      <c r="A32" s="34"/>
      <c r="B32" s="39" t="s">
        <v>8</v>
      </c>
      <c r="C32" s="36">
        <f>SUM(C14,C25,C31)</f>
        <v>7.77</v>
      </c>
    </row>
    <row r="33" spans="1:3" ht="16.5" thickBot="1" x14ac:dyDescent="0.3">
      <c r="A33" s="34"/>
      <c r="B33" s="33" t="s">
        <v>9</v>
      </c>
      <c r="C33" s="36" t="s">
        <v>4</v>
      </c>
    </row>
    <row r="34" spans="1:3" ht="16.5" thickBot="1" x14ac:dyDescent="0.3">
      <c r="A34" s="38">
        <v>1100</v>
      </c>
      <c r="B34" s="40" t="s">
        <v>30</v>
      </c>
      <c r="C34" s="36">
        <v>0.06</v>
      </c>
    </row>
    <row r="35" spans="1:3" ht="16.5" thickBot="1" x14ac:dyDescent="0.3">
      <c r="A35" s="38">
        <v>2220</v>
      </c>
      <c r="B35" s="40" t="s">
        <v>12</v>
      </c>
      <c r="C35" s="36">
        <v>0.08</v>
      </c>
    </row>
    <row r="36" spans="1:3" ht="16.5" thickBot="1" x14ac:dyDescent="0.3">
      <c r="A36" s="38">
        <v>2240</v>
      </c>
      <c r="B36" s="40" t="s">
        <v>56</v>
      </c>
      <c r="C36" s="36">
        <v>0.2</v>
      </c>
    </row>
    <row r="37" spans="1:3" ht="16.5" thickBot="1" x14ac:dyDescent="0.3">
      <c r="A37" s="38">
        <v>2310</v>
      </c>
      <c r="B37" s="40" t="s">
        <v>15</v>
      </c>
      <c r="C37" s="36">
        <v>0.05</v>
      </c>
    </row>
    <row r="38" spans="1:3" ht="16.5" thickBot="1" x14ac:dyDescent="0.3">
      <c r="A38" s="38">
        <v>2340</v>
      </c>
      <c r="B38" s="40" t="s">
        <v>57</v>
      </c>
      <c r="C38" s="36">
        <v>0.08</v>
      </c>
    </row>
    <row r="39" spans="1:3" ht="16.5" thickBot="1" x14ac:dyDescent="0.3">
      <c r="A39" s="43">
        <v>5200</v>
      </c>
      <c r="B39" s="44" t="s">
        <v>16</v>
      </c>
      <c r="C39" s="36">
        <v>0.33</v>
      </c>
    </row>
    <row r="40" spans="1:3" ht="16.5" thickBot="1" x14ac:dyDescent="0.3">
      <c r="A40" s="34"/>
      <c r="B40" s="39" t="s">
        <v>17</v>
      </c>
      <c r="C40" s="36">
        <f>SUM(C34:C39)</f>
        <v>0.8</v>
      </c>
    </row>
    <row r="41" spans="1:3" ht="16.5" thickBot="1" x14ac:dyDescent="0.3">
      <c r="A41" s="33"/>
      <c r="B41" s="45" t="s">
        <v>18</v>
      </c>
      <c r="C41" s="36">
        <f>ROUND((SUM(C32,C40)),2)</f>
        <v>8.57</v>
      </c>
    </row>
    <row r="42" spans="1:3" ht="16.5" thickBot="1" x14ac:dyDescent="0.3">
      <c r="A42" s="264" t="s">
        <v>19</v>
      </c>
      <c r="B42" s="265"/>
      <c r="C42" s="47">
        <v>1</v>
      </c>
    </row>
    <row r="43" spans="1:3" ht="16.5" thickBot="1" x14ac:dyDescent="0.3">
      <c r="A43" s="252" t="s">
        <v>20</v>
      </c>
      <c r="B43" s="253"/>
      <c r="C43" s="47">
        <f>C41*C42</f>
        <v>8.57</v>
      </c>
    </row>
    <row r="44" spans="1:3" ht="16.5" thickBot="1" x14ac:dyDescent="0.3">
      <c r="A44" s="252" t="s">
        <v>21</v>
      </c>
      <c r="B44" s="253"/>
      <c r="C44" s="48">
        <v>1000</v>
      </c>
    </row>
    <row r="45" spans="1:3" ht="16.5" thickBot="1" x14ac:dyDescent="0.3">
      <c r="A45" s="252" t="s">
        <v>22</v>
      </c>
      <c r="B45" s="253"/>
      <c r="C45" s="47">
        <f>C44*C43</f>
        <v>8570</v>
      </c>
    </row>
  </sheetData>
  <mergeCells count="5">
    <mergeCell ref="A44:B44"/>
    <mergeCell ref="A45:B45"/>
    <mergeCell ref="A42:B42"/>
    <mergeCell ref="A43:B43"/>
    <mergeCell ref="B3:C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7582A-4F82-4064-B1C0-647238FE3A98}">
  <sheetPr>
    <tabColor theme="9" tint="0.79998168889431442"/>
  </sheetPr>
  <dimension ref="A1:C45"/>
  <sheetViews>
    <sheetView topLeftCell="A22"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47.25" x14ac:dyDescent="0.25">
      <c r="A2" s="31" t="s">
        <v>68</v>
      </c>
      <c r="B2" s="49" t="s">
        <v>112</v>
      </c>
      <c r="C2" s="29"/>
    </row>
    <row r="3" spans="1:3" ht="15.75" x14ac:dyDescent="0.25">
      <c r="A3" s="31"/>
      <c r="B3" s="252" t="s">
        <v>113</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5" t="s">
        <v>35</v>
      </c>
      <c r="C10" s="33"/>
    </row>
    <row r="11" spans="1:3" ht="79.5" thickBot="1" x14ac:dyDescent="0.3">
      <c r="A11" s="33">
        <v>1100</v>
      </c>
      <c r="B11" s="35" t="s">
        <v>36</v>
      </c>
      <c r="C11" s="36">
        <f>ROUND(12.97*0.075,2)</f>
        <v>0.97</v>
      </c>
    </row>
    <row r="12" spans="1:3" ht="16.5" thickBot="1" x14ac:dyDescent="0.3">
      <c r="A12" s="38">
        <v>2310</v>
      </c>
      <c r="B12" s="35" t="s">
        <v>37</v>
      </c>
      <c r="C12" s="36">
        <v>1.5</v>
      </c>
    </row>
    <row r="13" spans="1:3" ht="16.5" thickBot="1" x14ac:dyDescent="0.3">
      <c r="A13" s="38">
        <v>2223</v>
      </c>
      <c r="B13" s="35" t="s">
        <v>38</v>
      </c>
      <c r="C13" s="36">
        <v>0.13</v>
      </c>
    </row>
    <row r="14" spans="1:3" ht="16.5" thickBot="1" x14ac:dyDescent="0.3">
      <c r="A14" s="34"/>
      <c r="B14" s="39" t="s">
        <v>39</v>
      </c>
      <c r="C14" s="36">
        <f>SUM(C11:C13)</f>
        <v>2.5999999999999996</v>
      </c>
    </row>
    <row r="15" spans="1:3" ht="16.5" thickBot="1" x14ac:dyDescent="0.3">
      <c r="A15" s="34"/>
      <c r="B15" s="35" t="s">
        <v>40</v>
      </c>
      <c r="C15" s="36"/>
    </row>
    <row r="16" spans="1:3" ht="79.5" thickBot="1" x14ac:dyDescent="0.3">
      <c r="A16" s="33">
        <v>1100</v>
      </c>
      <c r="B16" s="37" t="s">
        <v>62</v>
      </c>
      <c r="C16" s="36">
        <f>ROUND(12.97*0.38,2)</f>
        <v>4.93</v>
      </c>
    </row>
    <row r="17" spans="1:3" ht="16.5" thickBot="1" x14ac:dyDescent="0.3">
      <c r="A17" s="53" t="s">
        <v>43</v>
      </c>
      <c r="B17" s="35" t="s">
        <v>49</v>
      </c>
      <c r="C17" s="36">
        <v>2.69</v>
      </c>
    </row>
    <row r="18" spans="1:3" ht="16.5" thickBot="1" x14ac:dyDescent="0.3">
      <c r="A18" s="34"/>
      <c r="B18" s="51" t="s">
        <v>45</v>
      </c>
      <c r="C18" s="36"/>
    </row>
    <row r="19" spans="1:3" ht="79.5" thickBot="1" x14ac:dyDescent="0.3">
      <c r="A19" s="33">
        <v>1100</v>
      </c>
      <c r="B19" s="37" t="s">
        <v>46</v>
      </c>
      <c r="C19" s="36">
        <f>ROUND((12.97*0.033),2)</f>
        <v>0.43</v>
      </c>
    </row>
    <row r="20" spans="1:3" ht="16.5" thickBot="1" x14ac:dyDescent="0.3">
      <c r="A20" s="53" t="s">
        <v>43</v>
      </c>
      <c r="B20" s="35" t="s">
        <v>63</v>
      </c>
      <c r="C20" s="36">
        <v>0.23499999999999999</v>
      </c>
    </row>
    <row r="21" spans="1:3" ht="16.5" thickBot="1" x14ac:dyDescent="0.3">
      <c r="A21" s="34"/>
      <c r="B21" s="51" t="s">
        <v>48</v>
      </c>
      <c r="C21" s="36"/>
    </row>
    <row r="22" spans="1:3" ht="79.5" thickBot="1" x14ac:dyDescent="0.3">
      <c r="A22" s="33">
        <v>1100</v>
      </c>
      <c r="B22" s="37" t="s">
        <v>46</v>
      </c>
      <c r="C22" s="36">
        <f>ROUND((12.97*0.033),2)</f>
        <v>0.43</v>
      </c>
    </row>
    <row r="23" spans="1:3" ht="16.5" thickBot="1" x14ac:dyDescent="0.3">
      <c r="A23" s="53" t="s">
        <v>43</v>
      </c>
      <c r="B23" s="35" t="s">
        <v>63</v>
      </c>
      <c r="C23" s="36">
        <v>0.16</v>
      </c>
    </row>
    <row r="24" spans="1:3" ht="16.5" thickBot="1" x14ac:dyDescent="0.3">
      <c r="A24" s="34"/>
      <c r="B24" s="39" t="s">
        <v>50</v>
      </c>
      <c r="C24" s="36">
        <f>SUM(C16:C23)</f>
        <v>8.8749999999999982</v>
      </c>
    </row>
    <row r="25" spans="1:3" ht="16.5" thickBot="1" x14ac:dyDescent="0.3">
      <c r="A25" s="34"/>
      <c r="B25" s="35" t="s">
        <v>51</v>
      </c>
      <c r="C25" s="36"/>
    </row>
    <row r="26" spans="1:3" ht="79.5" thickBot="1" x14ac:dyDescent="0.3">
      <c r="A26" s="33">
        <v>1100</v>
      </c>
      <c r="B26" s="37" t="s">
        <v>52</v>
      </c>
      <c r="C26" s="36">
        <f>ROUND((12.97*0.038),2)</f>
        <v>0.49</v>
      </c>
    </row>
    <row r="27" spans="1:3" ht="79.5" thickBot="1" x14ac:dyDescent="0.3">
      <c r="A27" s="33">
        <v>1100</v>
      </c>
      <c r="B27" s="37" t="s">
        <v>53</v>
      </c>
      <c r="C27" s="36">
        <f>ROUND((19.58*0.038),2)</f>
        <v>0.74</v>
      </c>
    </row>
    <row r="28" spans="1:3" ht="16.5" thickBot="1" x14ac:dyDescent="0.3">
      <c r="A28" s="33">
        <v>2239</v>
      </c>
      <c r="B28" s="37" t="s">
        <v>54</v>
      </c>
      <c r="C28" s="36">
        <v>0.17</v>
      </c>
    </row>
    <row r="29" spans="1:3" ht="16.5" thickBot="1" x14ac:dyDescent="0.3">
      <c r="A29" s="33">
        <v>2250</v>
      </c>
      <c r="B29" s="37" t="s">
        <v>28</v>
      </c>
      <c r="C29" s="36">
        <v>0.61</v>
      </c>
    </row>
    <row r="30" spans="1:3" ht="16.5" thickBot="1" x14ac:dyDescent="0.3">
      <c r="A30" s="34"/>
      <c r="B30" s="39" t="s">
        <v>55</v>
      </c>
      <c r="C30" s="36">
        <f>SUM(C26:C29)</f>
        <v>2.0099999999999998</v>
      </c>
    </row>
    <row r="31" spans="1:3" ht="16.5" thickBot="1" x14ac:dyDescent="0.3">
      <c r="A31" s="34"/>
      <c r="B31" s="39" t="s">
        <v>8</v>
      </c>
      <c r="C31" s="36">
        <f>SUM(C14,C24,C30)</f>
        <v>13.484999999999998</v>
      </c>
    </row>
    <row r="32" spans="1:3" ht="16.5" thickBot="1" x14ac:dyDescent="0.3">
      <c r="A32" s="34"/>
      <c r="B32" s="35"/>
      <c r="C32" s="36"/>
    </row>
    <row r="33" spans="1:3" ht="16.5" thickBot="1" x14ac:dyDescent="0.3">
      <c r="A33" s="34"/>
      <c r="B33" s="33" t="s">
        <v>9</v>
      </c>
      <c r="C33" s="36" t="s">
        <v>4</v>
      </c>
    </row>
    <row r="34" spans="1:3" ht="16.5" thickBot="1" x14ac:dyDescent="0.3">
      <c r="A34" s="33">
        <v>1100</v>
      </c>
      <c r="B34" s="40" t="s">
        <v>30</v>
      </c>
      <c r="C34" s="36">
        <v>0.1</v>
      </c>
    </row>
    <row r="35" spans="1:3" ht="16.5" thickBot="1" x14ac:dyDescent="0.3">
      <c r="A35" s="38">
        <v>2220</v>
      </c>
      <c r="B35" s="40" t="s">
        <v>12</v>
      </c>
      <c r="C35" s="36">
        <v>0.13</v>
      </c>
    </row>
    <row r="36" spans="1:3" ht="16.5" thickBot="1" x14ac:dyDescent="0.3">
      <c r="A36" s="38">
        <v>2240</v>
      </c>
      <c r="B36" s="40" t="s">
        <v>56</v>
      </c>
      <c r="C36" s="36">
        <v>0.35</v>
      </c>
    </row>
    <row r="37" spans="1:3" ht="16.5" thickBot="1" x14ac:dyDescent="0.3">
      <c r="A37" s="38">
        <v>2310</v>
      </c>
      <c r="B37" s="40" t="s">
        <v>15</v>
      </c>
      <c r="C37" s="36">
        <v>0.06</v>
      </c>
    </row>
    <row r="38" spans="1:3" ht="16.5" thickBot="1" x14ac:dyDescent="0.3">
      <c r="A38" s="38">
        <v>2340</v>
      </c>
      <c r="B38" s="40" t="s">
        <v>57</v>
      </c>
      <c r="C38" s="36">
        <v>0.13</v>
      </c>
    </row>
    <row r="39" spans="1:3" ht="16.5" thickBot="1" x14ac:dyDescent="0.3">
      <c r="A39" s="43">
        <v>5200</v>
      </c>
      <c r="B39" s="44" t="s">
        <v>16</v>
      </c>
      <c r="C39" s="36">
        <v>0.56999999999999995</v>
      </c>
    </row>
    <row r="40" spans="1:3" ht="16.5" thickBot="1" x14ac:dyDescent="0.3">
      <c r="A40" s="34"/>
      <c r="B40" s="39" t="s">
        <v>17</v>
      </c>
      <c r="C40" s="36">
        <f>SUM(C34:C39)</f>
        <v>1.3399999999999999</v>
      </c>
    </row>
    <row r="41" spans="1:3" ht="16.5" thickBot="1" x14ac:dyDescent="0.3">
      <c r="A41" s="33"/>
      <c r="B41" s="45" t="s">
        <v>18</v>
      </c>
      <c r="C41" s="36">
        <f>ROUND((SUM(C31,C40)),2)</f>
        <v>14.83</v>
      </c>
    </row>
    <row r="42" spans="1:3" ht="16.5" thickBot="1" x14ac:dyDescent="0.3">
      <c r="A42" s="252" t="s">
        <v>19</v>
      </c>
      <c r="B42" s="253"/>
      <c r="C42" s="54">
        <v>1</v>
      </c>
    </row>
    <row r="43" spans="1:3" ht="16.5" thickBot="1" x14ac:dyDescent="0.3">
      <c r="A43" s="252" t="s">
        <v>20</v>
      </c>
      <c r="B43" s="253"/>
      <c r="C43" s="47">
        <f>C41</f>
        <v>14.83</v>
      </c>
    </row>
    <row r="44" spans="1:3" ht="16.5" thickBot="1" x14ac:dyDescent="0.3">
      <c r="A44" s="252" t="s">
        <v>21</v>
      </c>
      <c r="B44" s="253"/>
      <c r="C44" s="48">
        <v>1500</v>
      </c>
    </row>
    <row r="45" spans="1:3" ht="16.5" thickBot="1" x14ac:dyDescent="0.3">
      <c r="A45" s="252" t="s">
        <v>22</v>
      </c>
      <c r="B45" s="253"/>
      <c r="C45" s="47">
        <f>C44*C43</f>
        <v>22245</v>
      </c>
    </row>
  </sheetData>
  <mergeCells count="5">
    <mergeCell ref="A44:B44"/>
    <mergeCell ref="A45:B45"/>
    <mergeCell ref="A42:B42"/>
    <mergeCell ref="A43:B43"/>
    <mergeCell ref="B3:C3"/>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B720F-BC37-4C90-B092-2277541F5D6C}">
  <sheetPr>
    <tabColor theme="9" tint="0.79998168889431442"/>
  </sheetPr>
  <dimension ref="A1:C45"/>
  <sheetViews>
    <sheetView topLeftCell="A26"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47.25" x14ac:dyDescent="0.25">
      <c r="A2" s="31" t="s">
        <v>68</v>
      </c>
      <c r="B2" s="49" t="s">
        <v>112</v>
      </c>
      <c r="C2" s="29"/>
    </row>
    <row r="3" spans="1:3" ht="15.75" x14ac:dyDescent="0.25">
      <c r="A3" s="31"/>
      <c r="B3" s="252" t="s">
        <v>114</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33" t="s">
        <v>1</v>
      </c>
      <c r="C7" s="33" t="s">
        <v>2</v>
      </c>
    </row>
    <row r="8" spans="1:3" ht="16.5" thickBot="1" x14ac:dyDescent="0.3">
      <c r="A8" s="33">
        <v>1</v>
      </c>
      <c r="B8" s="33">
        <v>2</v>
      </c>
      <c r="C8" s="33">
        <v>3</v>
      </c>
    </row>
    <row r="9" spans="1:3" ht="16.5" thickBot="1" x14ac:dyDescent="0.3">
      <c r="A9" s="34"/>
      <c r="B9" s="33" t="s">
        <v>3</v>
      </c>
      <c r="C9" s="33" t="s">
        <v>4</v>
      </c>
    </row>
    <row r="10" spans="1:3" ht="16.5" thickBot="1" x14ac:dyDescent="0.3">
      <c r="A10" s="34"/>
      <c r="B10" s="35" t="s">
        <v>35</v>
      </c>
      <c r="C10" s="33"/>
    </row>
    <row r="11" spans="1:3" ht="79.5" thickBot="1" x14ac:dyDescent="0.3">
      <c r="A11" s="33">
        <v>1100</v>
      </c>
      <c r="B11" s="35" t="s">
        <v>64</v>
      </c>
      <c r="C11" s="36">
        <v>0.57999999999999996</v>
      </c>
    </row>
    <row r="12" spans="1:3" ht="16.5" thickBot="1" x14ac:dyDescent="0.3">
      <c r="A12" s="38">
        <v>2310</v>
      </c>
      <c r="B12" s="35" t="s">
        <v>37</v>
      </c>
      <c r="C12" s="36">
        <v>1.5</v>
      </c>
    </row>
    <row r="13" spans="1:3" ht="16.5" thickBot="1" x14ac:dyDescent="0.3">
      <c r="A13" s="38">
        <v>2223</v>
      </c>
      <c r="B13" s="35" t="s">
        <v>38</v>
      </c>
      <c r="C13" s="36">
        <v>0.13</v>
      </c>
    </row>
    <row r="14" spans="1:3" ht="16.5" thickBot="1" x14ac:dyDescent="0.3">
      <c r="A14" s="34"/>
      <c r="B14" s="39" t="s">
        <v>39</v>
      </c>
      <c r="C14" s="36">
        <f>SUM(C11:C13)</f>
        <v>2.21</v>
      </c>
    </row>
    <row r="15" spans="1:3" ht="16.5" thickBot="1" x14ac:dyDescent="0.3">
      <c r="A15" s="34"/>
      <c r="B15" s="35" t="s">
        <v>40</v>
      </c>
      <c r="C15" s="36"/>
    </row>
    <row r="16" spans="1:3" ht="79.5" thickBot="1" x14ac:dyDescent="0.3">
      <c r="A16" s="33">
        <v>1100</v>
      </c>
      <c r="B16" s="37" t="s">
        <v>65</v>
      </c>
      <c r="C16" s="36">
        <v>1.42</v>
      </c>
    </row>
    <row r="17" spans="1:3" ht="16.5" thickBot="1" x14ac:dyDescent="0.3">
      <c r="A17" s="53" t="s">
        <v>43</v>
      </c>
      <c r="B17" s="35" t="s">
        <v>49</v>
      </c>
      <c r="C17" s="36">
        <v>2.69</v>
      </c>
    </row>
    <row r="18" spans="1:3" ht="16.5" thickBot="1" x14ac:dyDescent="0.3">
      <c r="A18" s="34"/>
      <c r="B18" s="51" t="s">
        <v>45</v>
      </c>
      <c r="C18" s="36"/>
    </row>
    <row r="19" spans="1:3" ht="79.5" thickBot="1" x14ac:dyDescent="0.3">
      <c r="A19" s="33">
        <v>1100</v>
      </c>
      <c r="B19" s="37" t="s">
        <v>46</v>
      </c>
      <c r="C19" s="36">
        <v>0.43</v>
      </c>
    </row>
    <row r="20" spans="1:3" ht="16.5" thickBot="1" x14ac:dyDescent="0.3">
      <c r="A20" s="53" t="s">
        <v>43</v>
      </c>
      <c r="B20" s="35" t="s">
        <v>63</v>
      </c>
      <c r="C20" s="36">
        <v>0.24</v>
      </c>
    </row>
    <row r="21" spans="1:3" ht="16.5" thickBot="1" x14ac:dyDescent="0.3">
      <c r="A21" s="34"/>
      <c r="B21" s="51" t="s">
        <v>48</v>
      </c>
      <c r="C21" s="36"/>
    </row>
    <row r="22" spans="1:3" ht="79.5" thickBot="1" x14ac:dyDescent="0.3">
      <c r="A22" s="33">
        <v>1100</v>
      </c>
      <c r="B22" s="37" t="s">
        <v>46</v>
      </c>
      <c r="C22" s="36">
        <v>0.43</v>
      </c>
    </row>
    <row r="23" spans="1:3" ht="16.5" thickBot="1" x14ac:dyDescent="0.3">
      <c r="A23" s="53" t="s">
        <v>43</v>
      </c>
      <c r="B23" s="35" t="s">
        <v>63</v>
      </c>
      <c r="C23" s="36">
        <v>0.16</v>
      </c>
    </row>
    <row r="24" spans="1:3" ht="16.5" thickBot="1" x14ac:dyDescent="0.3">
      <c r="A24" s="34"/>
      <c r="B24" s="39" t="s">
        <v>50</v>
      </c>
      <c r="C24" s="36">
        <f>SUM(C16:C23)</f>
        <v>5.3699999999999992</v>
      </c>
    </row>
    <row r="25" spans="1:3" ht="16.5" thickBot="1" x14ac:dyDescent="0.3">
      <c r="A25" s="34"/>
      <c r="B25" s="35" t="s">
        <v>51</v>
      </c>
      <c r="C25" s="36"/>
    </row>
    <row r="26" spans="1:3" ht="79.5" thickBot="1" x14ac:dyDescent="0.3">
      <c r="A26" s="33">
        <v>1100</v>
      </c>
      <c r="B26" s="37" t="s">
        <v>52</v>
      </c>
      <c r="C26" s="36">
        <f>ROUND((12.97*0.038),2)</f>
        <v>0.49</v>
      </c>
    </row>
    <row r="27" spans="1:3" ht="79.5" thickBot="1" x14ac:dyDescent="0.3">
      <c r="A27" s="33">
        <v>1100</v>
      </c>
      <c r="B27" s="37" t="s">
        <v>53</v>
      </c>
      <c r="C27" s="36">
        <f>ROUND((19.58*0.038),2)</f>
        <v>0.74</v>
      </c>
    </row>
    <row r="28" spans="1:3" ht="16.5" thickBot="1" x14ac:dyDescent="0.3">
      <c r="A28" s="33">
        <v>2239</v>
      </c>
      <c r="B28" s="37" t="s">
        <v>54</v>
      </c>
      <c r="C28" s="36">
        <v>0.17</v>
      </c>
    </row>
    <row r="29" spans="1:3" ht="16.5" thickBot="1" x14ac:dyDescent="0.3">
      <c r="A29" s="33">
        <v>2250</v>
      </c>
      <c r="B29" s="37" t="s">
        <v>28</v>
      </c>
      <c r="C29" s="36">
        <v>0.61</v>
      </c>
    </row>
    <row r="30" spans="1:3" ht="16.5" thickBot="1" x14ac:dyDescent="0.3">
      <c r="A30" s="34"/>
      <c r="B30" s="39" t="s">
        <v>55</v>
      </c>
      <c r="C30" s="36">
        <f>SUM(C26:C29)</f>
        <v>2.0099999999999998</v>
      </c>
    </row>
    <row r="31" spans="1:3" ht="16.5" thickBot="1" x14ac:dyDescent="0.3">
      <c r="A31" s="34"/>
      <c r="B31" s="39" t="s">
        <v>8</v>
      </c>
      <c r="C31" s="36">
        <f>SUM(C14,C24,C30)</f>
        <v>9.59</v>
      </c>
    </row>
    <row r="32" spans="1:3" ht="16.5" thickBot="1" x14ac:dyDescent="0.3">
      <c r="A32" s="34"/>
      <c r="B32" s="35"/>
      <c r="C32" s="36"/>
    </row>
    <row r="33" spans="1:3" ht="16.5" thickBot="1" x14ac:dyDescent="0.3">
      <c r="A33" s="34"/>
      <c r="B33" s="33" t="s">
        <v>9</v>
      </c>
      <c r="C33" s="36" t="s">
        <v>4</v>
      </c>
    </row>
    <row r="34" spans="1:3" ht="16.5" thickBot="1" x14ac:dyDescent="0.3">
      <c r="A34" s="33">
        <v>1100</v>
      </c>
      <c r="B34" s="40" t="s">
        <v>30</v>
      </c>
      <c r="C34" s="36">
        <v>7.0000000000000007E-2</v>
      </c>
    </row>
    <row r="35" spans="1:3" ht="16.5" thickBot="1" x14ac:dyDescent="0.3">
      <c r="A35" s="38">
        <v>2220</v>
      </c>
      <c r="B35" s="40" t="s">
        <v>12</v>
      </c>
      <c r="C35" s="36">
        <v>0.09</v>
      </c>
    </row>
    <row r="36" spans="1:3" ht="16.5" thickBot="1" x14ac:dyDescent="0.3">
      <c r="A36" s="38">
        <v>2240</v>
      </c>
      <c r="B36" s="40" t="s">
        <v>56</v>
      </c>
      <c r="C36" s="36">
        <v>0.25</v>
      </c>
    </row>
    <row r="37" spans="1:3" ht="16.5" thickBot="1" x14ac:dyDescent="0.3">
      <c r="A37" s="38">
        <v>2310</v>
      </c>
      <c r="B37" s="40" t="s">
        <v>15</v>
      </c>
      <c r="C37" s="36">
        <v>0.05</v>
      </c>
    </row>
    <row r="38" spans="1:3" ht="16.5" thickBot="1" x14ac:dyDescent="0.3">
      <c r="A38" s="38">
        <v>2340</v>
      </c>
      <c r="B38" s="40" t="s">
        <v>57</v>
      </c>
      <c r="C38" s="36">
        <v>0.09</v>
      </c>
    </row>
    <row r="39" spans="1:3" ht="16.5" thickBot="1" x14ac:dyDescent="0.3">
      <c r="A39" s="43">
        <v>5200</v>
      </c>
      <c r="B39" s="44" t="s">
        <v>16</v>
      </c>
      <c r="C39" s="36">
        <v>0.4</v>
      </c>
    </row>
    <row r="40" spans="1:3" ht="16.5" thickBot="1" x14ac:dyDescent="0.3">
      <c r="A40" s="34"/>
      <c r="B40" s="39" t="s">
        <v>17</v>
      </c>
      <c r="C40" s="36">
        <f>SUM(C34:C39)</f>
        <v>0.95000000000000007</v>
      </c>
    </row>
    <row r="41" spans="1:3" ht="16.5" thickBot="1" x14ac:dyDescent="0.3">
      <c r="A41" s="33"/>
      <c r="B41" s="45" t="s">
        <v>18</v>
      </c>
      <c r="C41" s="36">
        <f>ROUND((SUM(C31,C40)),2)</f>
        <v>10.54</v>
      </c>
    </row>
    <row r="42" spans="1:3" ht="16.5" thickBot="1" x14ac:dyDescent="0.3">
      <c r="A42" s="252" t="s">
        <v>19</v>
      </c>
      <c r="B42" s="253"/>
      <c r="C42" s="54">
        <v>1</v>
      </c>
    </row>
    <row r="43" spans="1:3" ht="16.5" thickBot="1" x14ac:dyDescent="0.3">
      <c r="A43" s="252" t="s">
        <v>20</v>
      </c>
      <c r="B43" s="253"/>
      <c r="C43" s="47">
        <f>C41</f>
        <v>10.54</v>
      </c>
    </row>
    <row r="44" spans="1:3" ht="16.5" thickBot="1" x14ac:dyDescent="0.3">
      <c r="A44" s="252" t="s">
        <v>21</v>
      </c>
      <c r="B44" s="253"/>
      <c r="C44" s="48">
        <v>300</v>
      </c>
    </row>
    <row r="45" spans="1:3" ht="16.5" thickBot="1" x14ac:dyDescent="0.3">
      <c r="A45" s="252" t="s">
        <v>22</v>
      </c>
      <c r="B45" s="253"/>
      <c r="C45" s="47">
        <f>C44*C43</f>
        <v>3161.9999999999995</v>
      </c>
    </row>
  </sheetData>
  <mergeCells count="5">
    <mergeCell ref="A44:B44"/>
    <mergeCell ref="A45:B45"/>
    <mergeCell ref="A42:B42"/>
    <mergeCell ref="A43:B43"/>
    <mergeCell ref="B3:C3"/>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BABF8-512D-4805-B6CA-04DF54F9A565}">
  <sheetPr>
    <tabColor theme="9" tint="0.79998168889431442"/>
  </sheetPr>
  <dimension ref="A1:C44"/>
  <sheetViews>
    <sheetView topLeftCell="A24"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32.1" customHeight="1" x14ac:dyDescent="0.25">
      <c r="A3" s="31"/>
      <c r="B3" s="252" t="s">
        <v>70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ROUND((12.97*0.075),2)</f>
        <v>0.97</v>
      </c>
    </row>
    <row r="12" spans="1:3" ht="16.5" thickBot="1" x14ac:dyDescent="0.3">
      <c r="A12" s="38">
        <v>2300</v>
      </c>
      <c r="B12" s="35" t="s">
        <v>37</v>
      </c>
      <c r="C12" s="60">
        <v>2.19</v>
      </c>
    </row>
    <row r="13" spans="1:3" ht="16.5" thickBot="1" x14ac:dyDescent="0.3">
      <c r="A13" s="38">
        <v>2223</v>
      </c>
      <c r="B13" s="35" t="s">
        <v>38</v>
      </c>
      <c r="C13" s="60">
        <v>0.13</v>
      </c>
    </row>
    <row r="14" spans="1:3" ht="16.5" thickBot="1" x14ac:dyDescent="0.3">
      <c r="A14" s="34"/>
      <c r="B14" s="39" t="s">
        <v>39</v>
      </c>
      <c r="C14" s="60">
        <f>SUM(C11:C13)</f>
        <v>3.29</v>
      </c>
    </row>
    <row r="15" spans="1:3" ht="16.5" thickBot="1" x14ac:dyDescent="0.3">
      <c r="A15" s="34"/>
      <c r="B15" s="35" t="s">
        <v>40</v>
      </c>
      <c r="C15" s="60"/>
    </row>
    <row r="16" spans="1:3" ht="79.5" thickBot="1" x14ac:dyDescent="0.3">
      <c r="A16" s="33">
        <v>1100</v>
      </c>
      <c r="B16" s="37" t="s">
        <v>73</v>
      </c>
      <c r="C16" s="60">
        <f>ROUND((12.97*0.74),2)</f>
        <v>9.6</v>
      </c>
    </row>
    <row r="17" spans="1:3" ht="16.5" thickBot="1" x14ac:dyDescent="0.3">
      <c r="A17" s="33" t="s">
        <v>43</v>
      </c>
      <c r="B17" s="35" t="s">
        <v>49</v>
      </c>
      <c r="C17" s="60">
        <v>5.07</v>
      </c>
    </row>
    <row r="18" spans="1:3" ht="16.5" thickBot="1" x14ac:dyDescent="0.3">
      <c r="A18" s="34"/>
      <c r="B18" s="51" t="s">
        <v>45</v>
      </c>
      <c r="C18" s="60"/>
    </row>
    <row r="19" spans="1:3" ht="79.5" thickBot="1" x14ac:dyDescent="0.3">
      <c r="A19" s="33">
        <v>1100</v>
      </c>
      <c r="B19" s="37" t="s">
        <v>46</v>
      </c>
      <c r="C19" s="60">
        <f>ROUND((12.97*0.033),2)</f>
        <v>0.43</v>
      </c>
    </row>
    <row r="20" spans="1:3" ht="16.5" thickBot="1" x14ac:dyDescent="0.3">
      <c r="A20" s="33" t="s">
        <v>43</v>
      </c>
      <c r="B20" s="35" t="s">
        <v>49</v>
      </c>
      <c r="C20" s="60">
        <v>0.23499999999999999</v>
      </c>
    </row>
    <row r="21" spans="1:3" ht="16.5" thickBot="1" x14ac:dyDescent="0.3">
      <c r="A21" s="34"/>
      <c r="B21" s="51" t="s">
        <v>48</v>
      </c>
      <c r="C21" s="60"/>
    </row>
    <row r="22" spans="1:3" ht="79.5" thickBot="1" x14ac:dyDescent="0.3">
      <c r="A22" s="33">
        <v>1100</v>
      </c>
      <c r="B22" s="37" t="s">
        <v>46</v>
      </c>
      <c r="C22" s="60">
        <f>ROUND((12.97*0.033),2)</f>
        <v>0.43</v>
      </c>
    </row>
    <row r="23" spans="1:3" ht="16.5" thickBot="1" x14ac:dyDescent="0.3">
      <c r="A23" s="33" t="s">
        <v>43</v>
      </c>
      <c r="B23" s="35" t="s">
        <v>49</v>
      </c>
      <c r="C23" s="60">
        <v>0.16</v>
      </c>
    </row>
    <row r="24" spans="1:3" ht="16.5" thickBot="1" x14ac:dyDescent="0.3">
      <c r="A24" s="34"/>
      <c r="B24" s="39" t="s">
        <v>50</v>
      </c>
      <c r="C24" s="60">
        <f>SUM(C16:C23)</f>
        <v>15.924999999999999</v>
      </c>
    </row>
    <row r="25" spans="1:3" ht="16.5" thickBot="1" x14ac:dyDescent="0.3">
      <c r="A25" s="34"/>
      <c r="B25" s="35" t="s">
        <v>51</v>
      </c>
      <c r="C25" s="60"/>
    </row>
    <row r="26" spans="1:3" ht="79.5" thickBot="1" x14ac:dyDescent="0.3">
      <c r="A26" s="33">
        <v>1100</v>
      </c>
      <c r="B26" s="37" t="s">
        <v>52</v>
      </c>
      <c r="C26" s="36">
        <f>ROUND((12.97*0.038),2)</f>
        <v>0.49</v>
      </c>
    </row>
    <row r="27" spans="1:3" ht="79.5" thickBot="1" x14ac:dyDescent="0.3">
      <c r="A27" s="33">
        <v>1100</v>
      </c>
      <c r="B27" s="37" t="s">
        <v>53</v>
      </c>
      <c r="C27" s="36">
        <f>ROUND((19.58*0.038),2)</f>
        <v>0.74</v>
      </c>
    </row>
    <row r="28" spans="1:3" ht="16.5" thickBot="1" x14ac:dyDescent="0.3">
      <c r="A28" s="33">
        <v>2239</v>
      </c>
      <c r="B28" s="37" t="s">
        <v>54</v>
      </c>
      <c r="C28" s="36">
        <v>0.17</v>
      </c>
    </row>
    <row r="29" spans="1:3" ht="16.5" thickBot="1" x14ac:dyDescent="0.3">
      <c r="A29" s="33">
        <v>2250</v>
      </c>
      <c r="B29" s="37" t="s">
        <v>28</v>
      </c>
      <c r="C29" s="60">
        <v>0.61</v>
      </c>
    </row>
    <row r="30" spans="1:3" ht="16.5" thickBot="1" x14ac:dyDescent="0.3">
      <c r="A30" s="58"/>
      <c r="B30" s="61" t="s">
        <v>55</v>
      </c>
      <c r="C30" s="60">
        <f>SUM(C26:C29)</f>
        <v>2.0099999999999998</v>
      </c>
    </row>
    <row r="31" spans="1:3" ht="16.5" thickBot="1" x14ac:dyDescent="0.3">
      <c r="A31" s="58"/>
      <c r="B31" s="61" t="s">
        <v>8</v>
      </c>
      <c r="C31" s="60">
        <f>SUM(C14,C24,C30)</f>
        <v>21.225000000000001</v>
      </c>
    </row>
    <row r="32" spans="1:3" ht="16.5" thickBot="1" x14ac:dyDescent="0.3">
      <c r="A32" s="58"/>
      <c r="B32" s="57" t="s">
        <v>9</v>
      </c>
      <c r="C32" s="60" t="s">
        <v>4</v>
      </c>
    </row>
    <row r="33" spans="1:3" ht="16.5" thickBot="1" x14ac:dyDescent="0.3">
      <c r="A33" s="33">
        <v>1100</v>
      </c>
      <c r="B33" s="62" t="s">
        <v>30</v>
      </c>
      <c r="C33" s="60">
        <v>0.16</v>
      </c>
    </row>
    <row r="34" spans="1:3" ht="16.5" thickBot="1" x14ac:dyDescent="0.3">
      <c r="A34" s="38">
        <v>2220</v>
      </c>
      <c r="B34" s="40" t="s">
        <v>12</v>
      </c>
      <c r="C34" s="60">
        <v>0.21</v>
      </c>
    </row>
    <row r="35" spans="1:3" ht="16.5" thickBot="1" x14ac:dyDescent="0.3">
      <c r="A35" s="38">
        <v>2240</v>
      </c>
      <c r="B35" s="40" t="s">
        <v>56</v>
      </c>
      <c r="C35" s="60">
        <v>0.55000000000000004</v>
      </c>
    </row>
    <row r="36" spans="1:3" ht="16.5" thickBot="1" x14ac:dyDescent="0.3">
      <c r="A36" s="38">
        <v>2310</v>
      </c>
      <c r="B36" s="40" t="s">
        <v>15</v>
      </c>
      <c r="C36" s="60">
        <v>0.1</v>
      </c>
    </row>
    <row r="37" spans="1:3" ht="16.5" thickBot="1" x14ac:dyDescent="0.3">
      <c r="A37" s="38">
        <v>2340</v>
      </c>
      <c r="B37" s="40" t="s">
        <v>57</v>
      </c>
      <c r="C37" s="60">
        <v>0.21</v>
      </c>
    </row>
    <row r="38" spans="1:3" ht="16.5" thickBot="1" x14ac:dyDescent="0.3">
      <c r="A38" s="43">
        <v>5200</v>
      </c>
      <c r="B38" s="44" t="s">
        <v>16</v>
      </c>
      <c r="C38" s="60">
        <v>0.89</v>
      </c>
    </row>
    <row r="39" spans="1:3" ht="16.5" thickBot="1" x14ac:dyDescent="0.3">
      <c r="A39" s="58"/>
      <c r="B39" s="61" t="s">
        <v>17</v>
      </c>
      <c r="C39" s="60">
        <f>SUM(C33:C38)</f>
        <v>2.12</v>
      </c>
    </row>
    <row r="40" spans="1:3" ht="16.5" thickBot="1" x14ac:dyDescent="0.3">
      <c r="A40" s="56"/>
      <c r="B40" s="63" t="s">
        <v>18</v>
      </c>
      <c r="C40" s="60">
        <f>ROUND((SUM(C31,C39)),2)</f>
        <v>23.35</v>
      </c>
    </row>
    <row r="41" spans="1:3" ht="16.5" thickBot="1" x14ac:dyDescent="0.3">
      <c r="A41" s="252" t="s">
        <v>19</v>
      </c>
      <c r="B41" s="253"/>
      <c r="C41" s="46">
        <v>1</v>
      </c>
    </row>
    <row r="42" spans="1:3" ht="16.5" thickBot="1" x14ac:dyDescent="0.3">
      <c r="A42" s="252" t="s">
        <v>20</v>
      </c>
      <c r="B42" s="253"/>
      <c r="C42" s="47">
        <f>C40</f>
        <v>23.35</v>
      </c>
    </row>
    <row r="43" spans="1:3" ht="16.5" thickBot="1" x14ac:dyDescent="0.3">
      <c r="A43" s="252" t="s">
        <v>21</v>
      </c>
      <c r="B43" s="253"/>
      <c r="C43" s="48">
        <v>1250</v>
      </c>
    </row>
    <row r="44" spans="1:3" ht="16.5" thickBot="1" x14ac:dyDescent="0.3">
      <c r="A44" s="252" t="s">
        <v>22</v>
      </c>
      <c r="B44" s="253"/>
      <c r="C44" s="47">
        <f>C43*C42</f>
        <v>29187.5</v>
      </c>
    </row>
  </sheetData>
  <mergeCells count="5">
    <mergeCell ref="B3:C3"/>
    <mergeCell ref="A41:B41"/>
    <mergeCell ref="A42:B42"/>
    <mergeCell ref="A43:B43"/>
    <mergeCell ref="A44:B44"/>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0971-6DAD-49FC-AAE8-5DE40183C59D}">
  <sheetPr>
    <tabColor theme="9" tint="0.79998168889431442"/>
  </sheetPr>
  <dimension ref="A1:C39"/>
  <sheetViews>
    <sheetView topLeftCell="A19"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74</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0.39</v>
      </c>
    </row>
    <row r="13" spans="1:3" ht="16.5" thickBot="1" x14ac:dyDescent="0.3">
      <c r="A13" s="38">
        <v>2223</v>
      </c>
      <c r="B13" s="35" t="s">
        <v>38</v>
      </c>
      <c r="C13" s="60">
        <v>0.13</v>
      </c>
    </row>
    <row r="14" spans="1:3" ht="16.5" thickBot="1" x14ac:dyDescent="0.3">
      <c r="A14" s="58"/>
      <c r="B14" s="61" t="s">
        <v>39</v>
      </c>
      <c r="C14" s="60">
        <f>SUM(C11:C13)</f>
        <v>1.49275</v>
      </c>
    </row>
    <row r="15" spans="1:3" ht="16.5" thickBot="1" x14ac:dyDescent="0.3">
      <c r="A15" s="58"/>
      <c r="B15" s="64" t="s">
        <v>40</v>
      </c>
      <c r="C15" s="60"/>
    </row>
    <row r="16" spans="1:3" ht="79.5" thickBot="1" x14ac:dyDescent="0.3">
      <c r="A16" s="65">
        <v>1100</v>
      </c>
      <c r="B16" s="66" t="s">
        <v>75</v>
      </c>
      <c r="C16" s="60">
        <f>12.97*0.25</f>
        <v>3.2425000000000002</v>
      </c>
    </row>
    <row r="17" spans="1:3" ht="16.5" thickBot="1" x14ac:dyDescent="0.3">
      <c r="A17" s="33" t="s">
        <v>43</v>
      </c>
      <c r="B17" s="59" t="s">
        <v>49</v>
      </c>
      <c r="C17" s="60">
        <v>1.29</v>
      </c>
    </row>
    <row r="18" spans="1:3" ht="16.5" thickBot="1" x14ac:dyDescent="0.3">
      <c r="A18" s="58"/>
      <c r="B18" s="61" t="s">
        <v>50</v>
      </c>
      <c r="C18" s="60">
        <f>SUM(C16:C17)</f>
        <v>4.5325000000000006</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8.0352500000000013</v>
      </c>
    </row>
    <row r="26" spans="1:3" ht="16.5" thickBot="1" x14ac:dyDescent="0.3">
      <c r="A26" s="58"/>
      <c r="B26" s="59"/>
      <c r="C26" s="60"/>
    </row>
    <row r="27" spans="1:3" ht="16.5" thickBot="1" x14ac:dyDescent="0.3">
      <c r="A27" s="58"/>
      <c r="B27" s="67" t="s">
        <v>9</v>
      </c>
      <c r="C27" s="60" t="s">
        <v>4</v>
      </c>
    </row>
    <row r="28" spans="1:3" ht="16.5" thickBot="1" x14ac:dyDescent="0.3">
      <c r="A28" s="65">
        <v>1100</v>
      </c>
      <c r="B28" s="68" t="s">
        <v>30</v>
      </c>
      <c r="C28" s="60">
        <v>0.06</v>
      </c>
    </row>
    <row r="29" spans="1:3" ht="16.5" thickBot="1" x14ac:dyDescent="0.3">
      <c r="A29" s="38">
        <v>2220</v>
      </c>
      <c r="B29" s="69" t="s">
        <v>12</v>
      </c>
      <c r="C29" s="60">
        <v>0.08</v>
      </c>
    </row>
    <row r="30" spans="1:3" ht="16.5" thickBot="1" x14ac:dyDescent="0.3">
      <c r="A30" s="38">
        <v>2240</v>
      </c>
      <c r="B30" s="40" t="s">
        <v>56</v>
      </c>
      <c r="C30" s="60">
        <v>0.21</v>
      </c>
    </row>
    <row r="31" spans="1:3" ht="16.5" thickBot="1" x14ac:dyDescent="0.3">
      <c r="A31" s="38">
        <v>2310</v>
      </c>
      <c r="B31" s="40" t="s">
        <v>15</v>
      </c>
      <c r="C31" s="60">
        <v>0.04</v>
      </c>
    </row>
    <row r="32" spans="1:3" ht="16.5" thickBot="1" x14ac:dyDescent="0.3">
      <c r="A32" s="38">
        <v>2340</v>
      </c>
      <c r="B32" s="40" t="s">
        <v>57</v>
      </c>
      <c r="C32" s="60">
        <v>0.08</v>
      </c>
    </row>
    <row r="33" spans="1:3" ht="16.5" thickBot="1" x14ac:dyDescent="0.3">
      <c r="A33" s="43">
        <v>5200</v>
      </c>
      <c r="B33" s="44" t="s">
        <v>16</v>
      </c>
      <c r="C33" s="60">
        <v>0.34</v>
      </c>
    </row>
    <row r="34" spans="1:3" ht="16.5" thickBot="1" x14ac:dyDescent="0.3">
      <c r="A34" s="58"/>
      <c r="B34" s="61" t="s">
        <v>17</v>
      </c>
      <c r="C34" s="60">
        <f>SUM(C28:C33)</f>
        <v>0.81</v>
      </c>
    </row>
    <row r="35" spans="1:3" ht="16.5" thickBot="1" x14ac:dyDescent="0.3">
      <c r="A35" s="56"/>
      <c r="B35" s="63" t="s">
        <v>18</v>
      </c>
      <c r="C35" s="60">
        <f>ROUND((SUM(C25,C34)),2)</f>
        <v>8.85</v>
      </c>
    </row>
    <row r="36" spans="1:3" ht="16.5" thickBot="1" x14ac:dyDescent="0.3">
      <c r="A36" s="252" t="s">
        <v>19</v>
      </c>
      <c r="B36" s="253"/>
      <c r="C36" s="54">
        <v>1</v>
      </c>
    </row>
    <row r="37" spans="1:3" ht="16.5" thickBot="1" x14ac:dyDescent="0.3">
      <c r="A37" s="252" t="s">
        <v>20</v>
      </c>
      <c r="B37" s="253"/>
      <c r="C37" s="47">
        <f>C35</f>
        <v>8.85</v>
      </c>
    </row>
    <row r="38" spans="1:3" ht="16.5" thickBot="1" x14ac:dyDescent="0.3">
      <c r="A38" s="252" t="s">
        <v>21</v>
      </c>
      <c r="B38" s="253"/>
      <c r="C38" s="48">
        <v>400</v>
      </c>
    </row>
    <row r="39" spans="1:3" ht="16.5" thickBot="1" x14ac:dyDescent="0.3">
      <c r="A39" s="252" t="s">
        <v>22</v>
      </c>
      <c r="B39" s="253"/>
      <c r="C39" s="47">
        <f>C38*C37</f>
        <v>3540</v>
      </c>
    </row>
  </sheetData>
  <mergeCells count="5">
    <mergeCell ref="B3:C3"/>
    <mergeCell ref="A36:B36"/>
    <mergeCell ref="A37:B37"/>
    <mergeCell ref="A38:B38"/>
    <mergeCell ref="A39:B39"/>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F8F-7AA4-4EDD-85A6-821F01D3F143}">
  <sheetPr>
    <tabColor theme="9" tint="0.79998168889431442"/>
  </sheetPr>
  <dimension ref="A1:C43"/>
  <sheetViews>
    <sheetView topLeftCell="A21"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76</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70"/>
      <c r="B10" s="64" t="s">
        <v>35</v>
      </c>
      <c r="C10" s="67"/>
    </row>
    <row r="11" spans="1:3" ht="79.5" thickBot="1" x14ac:dyDescent="0.3">
      <c r="A11" s="71">
        <v>1100</v>
      </c>
      <c r="B11" s="72" t="s">
        <v>36</v>
      </c>
      <c r="C11" s="73">
        <f>12.97*0.075</f>
        <v>0.97275</v>
      </c>
    </row>
    <row r="12" spans="1:3" ht="16.5" thickBot="1" x14ac:dyDescent="0.3">
      <c r="A12" s="38">
        <v>2310</v>
      </c>
      <c r="B12" s="35" t="s">
        <v>37</v>
      </c>
      <c r="C12" s="74">
        <v>0.77</v>
      </c>
    </row>
    <row r="13" spans="1:3" ht="16.5" thickBot="1" x14ac:dyDescent="0.3">
      <c r="A13" s="38">
        <v>2223</v>
      </c>
      <c r="B13" s="35" t="s">
        <v>38</v>
      </c>
      <c r="C13" s="74">
        <v>0.13</v>
      </c>
    </row>
    <row r="14" spans="1:3" ht="16.5" thickBot="1" x14ac:dyDescent="0.3">
      <c r="A14" s="75"/>
      <c r="B14" s="61" t="s">
        <v>39</v>
      </c>
      <c r="C14" s="74">
        <f>SUM(C11:C13)</f>
        <v>1.8727499999999999</v>
      </c>
    </row>
    <row r="15" spans="1:3" ht="16.5" thickBot="1" x14ac:dyDescent="0.3">
      <c r="A15" s="75"/>
      <c r="B15" s="59" t="s">
        <v>40</v>
      </c>
      <c r="C15" s="74"/>
    </row>
    <row r="16" spans="1:3" ht="16.5" thickBot="1" x14ac:dyDescent="0.3">
      <c r="A16" s="75"/>
      <c r="B16" s="76" t="s">
        <v>77</v>
      </c>
      <c r="C16" s="74"/>
    </row>
    <row r="17" spans="1:3" ht="79.5" thickBot="1" x14ac:dyDescent="0.3">
      <c r="A17" s="77">
        <v>1100</v>
      </c>
      <c r="B17" s="66" t="s">
        <v>75</v>
      </c>
      <c r="C17" s="74">
        <f>12.97*0.25</f>
        <v>3.2425000000000002</v>
      </c>
    </row>
    <row r="18" spans="1:3" ht="16.5" thickBot="1" x14ac:dyDescent="0.3">
      <c r="A18" s="78" t="s">
        <v>43</v>
      </c>
      <c r="B18" s="64" t="s">
        <v>49</v>
      </c>
      <c r="C18" s="74">
        <v>4.2240000000000002</v>
      </c>
    </row>
    <row r="19" spans="1:3" ht="16.5" thickBot="1" x14ac:dyDescent="0.3">
      <c r="A19" s="79"/>
      <c r="B19" s="80" t="s">
        <v>78</v>
      </c>
      <c r="C19" s="74"/>
    </row>
    <row r="20" spans="1:3" ht="79.5" thickBot="1" x14ac:dyDescent="0.3">
      <c r="A20" s="77">
        <v>1100</v>
      </c>
      <c r="B20" s="66" t="s">
        <v>79</v>
      </c>
      <c r="C20" s="74">
        <f>12.97*0.033</f>
        <v>0.42801000000000006</v>
      </c>
    </row>
    <row r="21" spans="1:3" ht="16.5" thickBot="1" x14ac:dyDescent="0.3">
      <c r="A21" s="78" t="s">
        <v>43</v>
      </c>
      <c r="B21" s="59" t="s">
        <v>49</v>
      </c>
      <c r="C21" s="74">
        <v>0.56699999999999995</v>
      </c>
    </row>
    <row r="22" spans="1:3" ht="16.5" thickBot="1" x14ac:dyDescent="0.3">
      <c r="A22" s="75"/>
      <c r="B22" s="61" t="s">
        <v>50</v>
      </c>
      <c r="C22" s="74">
        <f>SUM(C17:C18,C20:C21)</f>
        <v>8.4615100000000005</v>
      </c>
    </row>
    <row r="23" spans="1:3" ht="16.5" thickBot="1" x14ac:dyDescent="0.3">
      <c r="A23" s="75"/>
      <c r="B23" s="59" t="s">
        <v>51</v>
      </c>
      <c r="C23" s="74"/>
    </row>
    <row r="24" spans="1:3" ht="79.5" thickBot="1" x14ac:dyDescent="0.3">
      <c r="A24" s="78">
        <v>1100</v>
      </c>
      <c r="B24" s="37" t="s">
        <v>52</v>
      </c>
      <c r="C24" s="36">
        <f>ROUND((12.97*0.038),2)</f>
        <v>0.49</v>
      </c>
    </row>
    <row r="25" spans="1:3" ht="79.5" thickBot="1" x14ac:dyDescent="0.3">
      <c r="A25" s="78">
        <v>1100</v>
      </c>
      <c r="B25" s="37" t="s">
        <v>53</v>
      </c>
      <c r="C25" s="36">
        <f>ROUND((19.58*0.038),2)</f>
        <v>0.74</v>
      </c>
    </row>
    <row r="26" spans="1:3" ht="16.5" thickBot="1" x14ac:dyDescent="0.3">
      <c r="A26" s="33">
        <v>2239</v>
      </c>
      <c r="B26" s="81" t="s">
        <v>54</v>
      </c>
      <c r="C26" s="82">
        <v>0.17</v>
      </c>
    </row>
    <row r="27" spans="1:3" ht="16.5" thickBot="1" x14ac:dyDescent="0.3">
      <c r="A27" s="33">
        <v>2250</v>
      </c>
      <c r="B27" s="81" t="s">
        <v>28</v>
      </c>
      <c r="C27" s="83">
        <v>0.61</v>
      </c>
    </row>
    <row r="28" spans="1:3" ht="16.5" thickBot="1" x14ac:dyDescent="0.3">
      <c r="A28" s="75"/>
      <c r="B28" s="61" t="s">
        <v>55</v>
      </c>
      <c r="C28" s="74">
        <f>SUM(C24:C27)</f>
        <v>2.0099999999999998</v>
      </c>
    </row>
    <row r="29" spans="1:3" ht="16.5" thickBot="1" x14ac:dyDescent="0.3">
      <c r="A29" s="75"/>
      <c r="B29" s="61" t="s">
        <v>8</v>
      </c>
      <c r="C29" s="74">
        <f>SUM(C14,C22,C28)</f>
        <v>12.34426</v>
      </c>
    </row>
    <row r="30" spans="1:3" ht="16.5" thickBot="1" x14ac:dyDescent="0.3">
      <c r="A30" s="75"/>
      <c r="B30" s="59"/>
      <c r="C30" s="74"/>
    </row>
    <row r="31" spans="1:3" ht="16.5" thickBot="1" x14ac:dyDescent="0.3">
      <c r="A31" s="75"/>
      <c r="B31" s="57" t="s">
        <v>9</v>
      </c>
      <c r="C31" s="74" t="s">
        <v>4</v>
      </c>
    </row>
    <row r="32" spans="1:3" ht="16.5" thickBot="1" x14ac:dyDescent="0.3">
      <c r="A32" s="78">
        <v>1100</v>
      </c>
      <c r="B32" s="40" t="s">
        <v>30</v>
      </c>
      <c r="C32" s="74">
        <v>0.09</v>
      </c>
    </row>
    <row r="33" spans="1:3" ht="16.5" thickBot="1" x14ac:dyDescent="0.3">
      <c r="A33" s="84">
        <v>2220</v>
      </c>
      <c r="B33" s="85" t="s">
        <v>12</v>
      </c>
      <c r="C33" s="86">
        <v>0.12</v>
      </c>
    </row>
    <row r="34" spans="1:3" ht="16.5" thickBot="1" x14ac:dyDescent="0.3">
      <c r="A34" s="87">
        <v>2240</v>
      </c>
      <c r="B34" s="69" t="s">
        <v>56</v>
      </c>
      <c r="C34" s="60">
        <v>0.32</v>
      </c>
    </row>
    <row r="35" spans="1:3" ht="16.5" thickBot="1" x14ac:dyDescent="0.3">
      <c r="A35" s="38">
        <v>2310</v>
      </c>
      <c r="B35" s="40" t="s">
        <v>15</v>
      </c>
      <c r="C35" s="60">
        <v>0.06</v>
      </c>
    </row>
    <row r="36" spans="1:3" ht="16.5" thickBot="1" x14ac:dyDescent="0.3">
      <c r="A36" s="38">
        <v>2340</v>
      </c>
      <c r="B36" s="40" t="s">
        <v>57</v>
      </c>
      <c r="C36" s="60">
        <v>0.12</v>
      </c>
    </row>
    <row r="37" spans="1:3" ht="16.5" thickBot="1" x14ac:dyDescent="0.3">
      <c r="A37" s="38">
        <v>5200</v>
      </c>
      <c r="B37" s="44" t="s">
        <v>16</v>
      </c>
      <c r="C37" s="60">
        <v>0.52</v>
      </c>
    </row>
    <row r="38" spans="1:3" ht="16.5" thickBot="1" x14ac:dyDescent="0.3">
      <c r="A38" s="58"/>
      <c r="B38" s="61" t="s">
        <v>17</v>
      </c>
      <c r="C38" s="60">
        <f>SUM(C32:C37)</f>
        <v>1.23</v>
      </c>
    </row>
    <row r="39" spans="1:3" ht="16.5" thickBot="1" x14ac:dyDescent="0.3">
      <c r="A39" s="56"/>
      <c r="B39" s="63" t="s">
        <v>18</v>
      </c>
      <c r="C39" s="60">
        <f>ROUND((SUM(C29,C38)),2)</f>
        <v>13.57</v>
      </c>
    </row>
    <row r="40" spans="1:3" ht="16.5" thickBot="1" x14ac:dyDescent="0.3">
      <c r="A40" s="252" t="s">
        <v>19</v>
      </c>
      <c r="B40" s="253"/>
      <c r="C40" s="54">
        <v>1</v>
      </c>
    </row>
    <row r="41" spans="1:3" ht="16.5" thickBot="1" x14ac:dyDescent="0.3">
      <c r="A41" s="252" t="s">
        <v>20</v>
      </c>
      <c r="B41" s="253"/>
      <c r="C41" s="47">
        <f>C39</f>
        <v>13.57</v>
      </c>
    </row>
    <row r="42" spans="1:3" ht="16.5" thickBot="1" x14ac:dyDescent="0.3">
      <c r="A42" s="252" t="s">
        <v>21</v>
      </c>
      <c r="B42" s="253"/>
      <c r="C42" s="88">
        <v>250</v>
      </c>
    </row>
    <row r="43" spans="1:3" ht="16.5" thickBot="1" x14ac:dyDescent="0.3">
      <c r="A43" s="252" t="s">
        <v>22</v>
      </c>
      <c r="B43" s="253"/>
      <c r="C43" s="47">
        <f>C42*C41</f>
        <v>3392.5</v>
      </c>
    </row>
  </sheetData>
  <mergeCells count="5">
    <mergeCell ref="B3:C3"/>
    <mergeCell ref="A40:B40"/>
    <mergeCell ref="A41:B41"/>
    <mergeCell ref="A42:B42"/>
    <mergeCell ref="A43:B43"/>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56D-04B2-41D4-BBF7-CBC1F70430B7}">
  <sheetPr>
    <tabColor theme="9" tint="0.79998168889431442"/>
  </sheetPr>
  <dimension ref="A1:C39"/>
  <sheetViews>
    <sheetView topLeftCell="A19"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80</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61"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f>0.51-0.13</f>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81</v>
      </c>
      <c r="C16" s="60">
        <f>12.97*0.5</f>
        <v>6.4850000000000003</v>
      </c>
    </row>
    <row r="17" spans="1:3" ht="16.5" thickBot="1" x14ac:dyDescent="0.3">
      <c r="A17" s="33" t="s">
        <v>43</v>
      </c>
      <c r="B17" s="59" t="s">
        <v>49</v>
      </c>
      <c r="C17" s="60">
        <v>9.2899999999999991</v>
      </c>
    </row>
    <row r="18" spans="1:3" ht="16.5" thickBot="1" x14ac:dyDescent="0.3">
      <c r="A18" s="58"/>
      <c r="B18" s="61" t="s">
        <v>50</v>
      </c>
      <c r="C18" s="60">
        <f>SUM(C16:C17)</f>
        <v>15.774999999999999</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19.267749999999999</v>
      </c>
    </row>
    <row r="26" spans="1:3" ht="16.5" thickBot="1" x14ac:dyDescent="0.3">
      <c r="A26" s="58"/>
      <c r="B26" s="59"/>
      <c r="C26" s="60"/>
    </row>
    <row r="27" spans="1:3" ht="16.5" thickBot="1" x14ac:dyDescent="0.3">
      <c r="A27" s="58"/>
      <c r="B27" s="61" t="s">
        <v>9</v>
      </c>
      <c r="C27" s="60" t="s">
        <v>4</v>
      </c>
    </row>
    <row r="28" spans="1:3" ht="16.5" thickBot="1" x14ac:dyDescent="0.3">
      <c r="A28" s="33">
        <v>1100</v>
      </c>
      <c r="B28" s="40" t="s">
        <v>30</v>
      </c>
      <c r="C28" s="60">
        <v>0.15</v>
      </c>
    </row>
    <row r="29" spans="1:3" ht="16.5" thickBot="1" x14ac:dyDescent="0.3">
      <c r="A29" s="38">
        <v>2220</v>
      </c>
      <c r="B29" s="40" t="s">
        <v>12</v>
      </c>
      <c r="C29" s="60">
        <v>0.19</v>
      </c>
    </row>
    <row r="30" spans="1:3" ht="16.5" thickBot="1" x14ac:dyDescent="0.3">
      <c r="A30" s="38">
        <v>2240</v>
      </c>
      <c r="B30" s="40" t="s">
        <v>56</v>
      </c>
      <c r="C30" s="60">
        <v>0.5</v>
      </c>
    </row>
    <row r="31" spans="1:3" ht="16.5" thickBot="1" x14ac:dyDescent="0.3">
      <c r="A31" s="38">
        <v>2310</v>
      </c>
      <c r="B31" s="40" t="s">
        <v>15</v>
      </c>
      <c r="C31" s="60">
        <v>0.09</v>
      </c>
    </row>
    <row r="32" spans="1:3" ht="16.5" thickBot="1" x14ac:dyDescent="0.3">
      <c r="A32" s="38">
        <v>2340</v>
      </c>
      <c r="B32" s="40" t="s">
        <v>57</v>
      </c>
      <c r="C32" s="60">
        <v>0.19</v>
      </c>
    </row>
    <row r="33" spans="1:3" ht="16.5" thickBot="1" x14ac:dyDescent="0.3">
      <c r="A33" s="38">
        <v>5200</v>
      </c>
      <c r="B33" s="44" t="s">
        <v>16</v>
      </c>
      <c r="C33" s="60">
        <v>0.81</v>
      </c>
    </row>
    <row r="34" spans="1:3" ht="16.5" thickBot="1" x14ac:dyDescent="0.3">
      <c r="A34" s="58"/>
      <c r="B34" s="61" t="s">
        <v>17</v>
      </c>
      <c r="C34" s="60">
        <f>SUM(C28:C33)</f>
        <v>1.93</v>
      </c>
    </row>
    <row r="35" spans="1:3" ht="16.5" thickBot="1" x14ac:dyDescent="0.3">
      <c r="A35" s="56"/>
      <c r="B35" s="63" t="s">
        <v>18</v>
      </c>
      <c r="C35" s="60">
        <f>ROUND((SUM(C25,C34)),2)</f>
        <v>21.2</v>
      </c>
    </row>
    <row r="36" spans="1:3" ht="16.5" thickBot="1" x14ac:dyDescent="0.3">
      <c r="A36" s="252" t="s">
        <v>19</v>
      </c>
      <c r="B36" s="253"/>
      <c r="C36" s="54">
        <v>1</v>
      </c>
    </row>
    <row r="37" spans="1:3" ht="16.5" thickBot="1" x14ac:dyDescent="0.3">
      <c r="A37" s="252" t="s">
        <v>20</v>
      </c>
      <c r="B37" s="253"/>
      <c r="C37" s="47">
        <f>C35</f>
        <v>21.2</v>
      </c>
    </row>
    <row r="38" spans="1:3" ht="16.5" thickBot="1" x14ac:dyDescent="0.3">
      <c r="A38" s="252" t="s">
        <v>21</v>
      </c>
      <c r="B38" s="253"/>
      <c r="C38" s="88">
        <v>50</v>
      </c>
    </row>
    <row r="39" spans="1:3" ht="16.5" thickBot="1" x14ac:dyDescent="0.3">
      <c r="A39" s="252" t="s">
        <v>22</v>
      </c>
      <c r="B39" s="253"/>
      <c r="C39" s="47">
        <f>C38*C37</f>
        <v>1060</v>
      </c>
    </row>
  </sheetData>
  <mergeCells count="5">
    <mergeCell ref="B3:C3"/>
    <mergeCell ref="A36:B36"/>
    <mergeCell ref="A37:B37"/>
    <mergeCell ref="A38:B38"/>
    <mergeCell ref="A39:B39"/>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C132-5737-4C18-A2D3-0D998F461BC6}">
  <sheetPr>
    <tabColor theme="9" tint="0.79998168889431442"/>
  </sheetPr>
  <dimension ref="A1:C39"/>
  <sheetViews>
    <sheetView topLeftCell="A16" zoomScale="85" zoomScaleNormal="85" workbookViewId="0">
      <selection activeCell="A2" sqref="A2"/>
    </sheetView>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30"/>
    </row>
    <row r="3" spans="1:3" ht="15.75" x14ac:dyDescent="0.25">
      <c r="A3" s="31"/>
      <c r="B3" s="29" t="s">
        <v>82</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83</v>
      </c>
      <c r="C16" s="60">
        <f>12.97*0.333</f>
        <v>4.3190100000000005</v>
      </c>
    </row>
    <row r="17" spans="1:3" ht="16.5" thickBot="1" x14ac:dyDescent="0.3">
      <c r="A17" s="33" t="s">
        <v>43</v>
      </c>
      <c r="B17" s="59" t="s">
        <v>49</v>
      </c>
      <c r="C17" s="60">
        <v>19.88</v>
      </c>
    </row>
    <row r="18" spans="1:3" ht="16.5" thickBot="1" x14ac:dyDescent="0.3">
      <c r="A18" s="58"/>
      <c r="B18" s="61" t="s">
        <v>50</v>
      </c>
      <c r="C18" s="60">
        <f>SUM(C16:C17)</f>
        <v>24.199010000000001</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81" t="s">
        <v>54</v>
      </c>
      <c r="C22" s="82">
        <v>0.17</v>
      </c>
    </row>
    <row r="23" spans="1:3" ht="16.5" thickBot="1" x14ac:dyDescent="0.3">
      <c r="A23" s="33">
        <v>2250</v>
      </c>
      <c r="B23" s="81" t="s">
        <v>28</v>
      </c>
      <c r="C23" s="83">
        <v>0.61</v>
      </c>
    </row>
    <row r="24" spans="1:3" ht="16.5" thickBot="1" x14ac:dyDescent="0.3">
      <c r="A24" s="58"/>
      <c r="B24" s="61" t="s">
        <v>55</v>
      </c>
      <c r="C24" s="60">
        <f>SUM(C20:C23)</f>
        <v>2.0099999999999998</v>
      </c>
    </row>
    <row r="25" spans="1:3" ht="16.5" thickBot="1" x14ac:dyDescent="0.3">
      <c r="A25" s="58"/>
      <c r="B25" s="61" t="s">
        <v>8</v>
      </c>
      <c r="C25" s="60">
        <f>SUM(C14,C18,C24)</f>
        <v>27.691760000000002</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0.21</v>
      </c>
    </row>
    <row r="29" spans="1:3" ht="16.5" thickBot="1" x14ac:dyDescent="0.3">
      <c r="A29" s="38">
        <v>2220</v>
      </c>
      <c r="B29" s="40" t="s">
        <v>12</v>
      </c>
      <c r="C29" s="60">
        <v>0.27</v>
      </c>
    </row>
    <row r="30" spans="1:3" ht="16.5" thickBot="1" x14ac:dyDescent="0.3">
      <c r="A30" s="38">
        <v>2240</v>
      </c>
      <c r="B30" s="40" t="s">
        <v>56</v>
      </c>
      <c r="C30" s="60">
        <v>0.72</v>
      </c>
    </row>
    <row r="31" spans="1:3" ht="16.5" thickBot="1" x14ac:dyDescent="0.3">
      <c r="A31" s="38">
        <v>2310</v>
      </c>
      <c r="B31" s="40" t="s">
        <v>15</v>
      </c>
      <c r="C31" s="60">
        <v>0.13</v>
      </c>
    </row>
    <row r="32" spans="1:3" ht="16.5" thickBot="1" x14ac:dyDescent="0.3">
      <c r="A32" s="38">
        <v>2340</v>
      </c>
      <c r="B32" s="40" t="s">
        <v>57</v>
      </c>
      <c r="C32" s="60">
        <v>0.27</v>
      </c>
    </row>
    <row r="33" spans="1:3" ht="16.5" thickBot="1" x14ac:dyDescent="0.3">
      <c r="A33" s="38">
        <v>5200</v>
      </c>
      <c r="B33" s="44" t="s">
        <v>16</v>
      </c>
      <c r="C33" s="60">
        <v>1.17</v>
      </c>
    </row>
    <row r="34" spans="1:3" ht="16.5" thickBot="1" x14ac:dyDescent="0.3">
      <c r="A34" s="58"/>
      <c r="B34" s="61" t="s">
        <v>17</v>
      </c>
      <c r="C34" s="60">
        <f>SUM(C28:C33)</f>
        <v>2.77</v>
      </c>
    </row>
    <row r="35" spans="1:3" ht="16.5" thickBot="1" x14ac:dyDescent="0.3">
      <c r="A35" s="56"/>
      <c r="B35" s="63" t="s">
        <v>18</v>
      </c>
      <c r="C35" s="60">
        <f>ROUND((SUM(C25,C34)),2)</f>
        <v>30.46</v>
      </c>
    </row>
    <row r="36" spans="1:3" ht="16.5" thickBot="1" x14ac:dyDescent="0.3">
      <c r="A36" s="264" t="s">
        <v>19</v>
      </c>
      <c r="B36" s="265"/>
      <c r="C36" s="46">
        <v>1</v>
      </c>
    </row>
    <row r="37" spans="1:3" ht="16.5" thickBot="1" x14ac:dyDescent="0.3">
      <c r="A37" s="252" t="s">
        <v>20</v>
      </c>
      <c r="B37" s="253"/>
      <c r="C37" s="47">
        <f>C35</f>
        <v>30.46</v>
      </c>
    </row>
    <row r="38" spans="1:3" ht="16.5" thickBot="1" x14ac:dyDescent="0.3">
      <c r="A38" s="252" t="s">
        <v>21</v>
      </c>
      <c r="B38" s="253"/>
      <c r="C38" s="48">
        <v>50</v>
      </c>
    </row>
    <row r="39" spans="1:3" ht="16.5" thickBot="1" x14ac:dyDescent="0.3">
      <c r="A39" s="252" t="s">
        <v>22</v>
      </c>
      <c r="B39" s="253"/>
      <c r="C39" s="47">
        <f>C38*C37</f>
        <v>1523</v>
      </c>
    </row>
  </sheetData>
  <mergeCells count="4">
    <mergeCell ref="A36:B36"/>
    <mergeCell ref="A37:B37"/>
    <mergeCell ref="A38:B38"/>
    <mergeCell ref="A39:B39"/>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4ECC-5F71-4BA1-A24B-7BFD991C7654}">
  <sheetPr>
    <tabColor theme="9" tint="0.79998168889431442"/>
  </sheetPr>
  <dimension ref="A1:C39"/>
  <sheetViews>
    <sheetView topLeftCell="A16"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30"/>
    </row>
    <row r="3" spans="1:3" ht="15.75" x14ac:dyDescent="0.25">
      <c r="A3" s="31"/>
      <c r="B3" s="29" t="s">
        <v>84</v>
      </c>
      <c r="C3" s="30"/>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85</v>
      </c>
      <c r="C16" s="60">
        <f>12.97*0.1</f>
        <v>1.2970000000000002</v>
      </c>
    </row>
    <row r="17" spans="1:3" ht="16.5" thickBot="1" x14ac:dyDescent="0.3">
      <c r="A17" s="33" t="s">
        <v>43</v>
      </c>
      <c r="B17" s="59" t="s">
        <v>49</v>
      </c>
      <c r="C17" s="60">
        <v>1.5</v>
      </c>
    </row>
    <row r="18" spans="1:3" ht="16.5" thickBot="1" x14ac:dyDescent="0.3">
      <c r="A18" s="58"/>
      <c r="B18" s="61" t="s">
        <v>50</v>
      </c>
      <c r="C18" s="60">
        <f>SUM(C16:C17)</f>
        <v>2.7970000000000002</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81" t="s">
        <v>54</v>
      </c>
      <c r="C22" s="82">
        <v>0.17</v>
      </c>
    </row>
    <row r="23" spans="1:3" ht="16.5" thickBot="1" x14ac:dyDescent="0.3">
      <c r="A23" s="33">
        <v>2250</v>
      </c>
      <c r="B23" s="81" t="s">
        <v>28</v>
      </c>
      <c r="C23" s="83">
        <v>0.61</v>
      </c>
    </row>
    <row r="24" spans="1:3" ht="16.5" thickBot="1" x14ac:dyDescent="0.3">
      <c r="A24" s="58"/>
      <c r="B24" s="61" t="s">
        <v>55</v>
      </c>
      <c r="C24" s="60">
        <f>SUM(C20:C23)</f>
        <v>2.0099999999999998</v>
      </c>
    </row>
    <row r="25" spans="1:3" ht="16.5" thickBot="1" x14ac:dyDescent="0.3">
      <c r="A25" s="58"/>
      <c r="B25" s="61" t="s">
        <v>8</v>
      </c>
      <c r="C25" s="60">
        <f>SUM(C14,C18,C24)</f>
        <v>6.2897499999999997</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0.05</v>
      </c>
    </row>
    <row r="29" spans="1:3" ht="16.5" thickBot="1" x14ac:dyDescent="0.3">
      <c r="A29" s="38">
        <v>2220</v>
      </c>
      <c r="B29" s="40" t="s">
        <v>12</v>
      </c>
      <c r="C29" s="60">
        <v>0.06</v>
      </c>
    </row>
    <row r="30" spans="1:3" ht="16.5" thickBot="1" x14ac:dyDescent="0.3">
      <c r="A30" s="38">
        <v>2240</v>
      </c>
      <c r="B30" s="40" t="s">
        <v>56</v>
      </c>
      <c r="C30" s="60">
        <v>0.16</v>
      </c>
    </row>
    <row r="31" spans="1:3" ht="16.5" thickBot="1" x14ac:dyDescent="0.3">
      <c r="A31" s="38">
        <v>2310</v>
      </c>
      <c r="B31" s="40" t="s">
        <v>15</v>
      </c>
      <c r="C31" s="60">
        <v>0.03</v>
      </c>
    </row>
    <row r="32" spans="1:3" ht="16.5" thickBot="1" x14ac:dyDescent="0.3">
      <c r="A32" s="38">
        <v>2340</v>
      </c>
      <c r="B32" s="40" t="s">
        <v>57</v>
      </c>
      <c r="C32" s="60">
        <v>0.06</v>
      </c>
    </row>
    <row r="33" spans="1:3" ht="16.5" thickBot="1" x14ac:dyDescent="0.3">
      <c r="A33" s="38">
        <v>5200</v>
      </c>
      <c r="B33" s="44" t="s">
        <v>16</v>
      </c>
      <c r="C33" s="60">
        <v>0.26</v>
      </c>
    </row>
    <row r="34" spans="1:3" ht="16.5" thickBot="1" x14ac:dyDescent="0.3">
      <c r="A34" s="58"/>
      <c r="B34" s="61" t="s">
        <v>17</v>
      </c>
      <c r="C34" s="60">
        <f>SUM(C28:C33)</f>
        <v>0.62000000000000011</v>
      </c>
    </row>
    <row r="35" spans="1:3" ht="16.5" thickBot="1" x14ac:dyDescent="0.3">
      <c r="A35" s="56"/>
      <c r="B35" s="63" t="s">
        <v>18</v>
      </c>
      <c r="C35" s="60">
        <f>ROUND((SUM(C25,C34)),2)</f>
        <v>6.91</v>
      </c>
    </row>
    <row r="36" spans="1:3" ht="16.5" thickBot="1" x14ac:dyDescent="0.3">
      <c r="A36" s="264" t="s">
        <v>19</v>
      </c>
      <c r="B36" s="265"/>
      <c r="C36" s="54">
        <v>1</v>
      </c>
    </row>
    <row r="37" spans="1:3" ht="16.5" thickBot="1" x14ac:dyDescent="0.3">
      <c r="A37" s="252" t="s">
        <v>20</v>
      </c>
      <c r="B37" s="253"/>
      <c r="C37" s="47">
        <f>C35</f>
        <v>6.91</v>
      </c>
    </row>
    <row r="38" spans="1:3" ht="16.5" thickBot="1" x14ac:dyDescent="0.3">
      <c r="A38" s="252" t="s">
        <v>21</v>
      </c>
      <c r="B38" s="253"/>
      <c r="C38" s="88">
        <v>50</v>
      </c>
    </row>
    <row r="39" spans="1:3" ht="16.5" thickBot="1" x14ac:dyDescent="0.3">
      <c r="A39" s="252" t="s">
        <v>22</v>
      </c>
      <c r="B39" s="253"/>
      <c r="C39" s="47">
        <f>C38*C37</f>
        <v>345.5</v>
      </c>
    </row>
  </sheetData>
  <mergeCells count="4">
    <mergeCell ref="A36:B36"/>
    <mergeCell ref="A37:B37"/>
    <mergeCell ref="A38:B38"/>
    <mergeCell ref="A39:B39"/>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8ECA-E4F8-4D1F-8EB2-EDCE4CDE3CCC}">
  <sheetPr>
    <tabColor theme="9" tint="0.79998168889431442"/>
  </sheetPr>
  <dimension ref="A1:C39"/>
  <sheetViews>
    <sheetView topLeftCell="A16" zoomScale="85" zoomScaleNormal="85" workbookViewId="0"/>
  </sheetViews>
  <sheetFormatPr defaultRowHeight="15" x14ac:dyDescent="0.25"/>
  <cols>
    <col min="1" max="1" width="21.140625" bestFit="1" customWidth="1"/>
    <col min="2" max="2" width="155.42578125" customWidth="1"/>
    <col min="3" max="3" width="26.42578125" customWidth="1"/>
  </cols>
  <sheetData>
    <row r="1" spans="1:3" ht="15.75" x14ac:dyDescent="0.25">
      <c r="A1" s="28" t="s">
        <v>66</v>
      </c>
      <c r="B1" s="29" t="s">
        <v>67</v>
      </c>
      <c r="C1" s="30"/>
    </row>
    <row r="2" spans="1:3" ht="31.5" x14ac:dyDescent="0.25">
      <c r="A2" s="31" t="s">
        <v>68</v>
      </c>
      <c r="B2" s="29" t="s">
        <v>69</v>
      </c>
      <c r="C2" s="29"/>
    </row>
    <row r="3" spans="1:3" ht="15.75" x14ac:dyDescent="0.25">
      <c r="A3" s="31"/>
      <c r="B3" s="252" t="s">
        <v>86</v>
      </c>
      <c r="C3" s="252"/>
    </row>
    <row r="4" spans="1:3" ht="15.75" x14ac:dyDescent="0.25">
      <c r="A4" s="31" t="s">
        <v>71</v>
      </c>
      <c r="B4" s="29" t="s">
        <v>72</v>
      </c>
      <c r="C4" s="30"/>
    </row>
    <row r="5" spans="1:3" ht="15.75" x14ac:dyDescent="0.25">
      <c r="A5" s="29"/>
      <c r="B5" s="29"/>
      <c r="C5" s="30"/>
    </row>
    <row r="6" spans="1:3" ht="16.5" thickBot="1" x14ac:dyDescent="0.3">
      <c r="A6" s="29"/>
      <c r="B6" s="29"/>
      <c r="C6" s="30"/>
    </row>
    <row r="7" spans="1:3" ht="63.75" thickBot="1" x14ac:dyDescent="0.3">
      <c r="A7" s="33" t="s">
        <v>0</v>
      </c>
      <c r="B7" s="55" t="s">
        <v>1</v>
      </c>
      <c r="C7" s="55" t="s">
        <v>2</v>
      </c>
    </row>
    <row r="8" spans="1:3" ht="16.5" thickBot="1" x14ac:dyDescent="0.3">
      <c r="A8" s="56">
        <v>1</v>
      </c>
      <c r="B8" s="57">
        <v>2</v>
      </c>
      <c r="C8" s="57">
        <v>3</v>
      </c>
    </row>
    <row r="9" spans="1:3" ht="16.5" thickBot="1" x14ac:dyDescent="0.3">
      <c r="A9" s="58"/>
      <c r="B9" s="57" t="s">
        <v>3</v>
      </c>
      <c r="C9" s="57" t="s">
        <v>4</v>
      </c>
    </row>
    <row r="10" spans="1:3" ht="16.5" thickBot="1" x14ac:dyDescent="0.3">
      <c r="A10" s="58"/>
      <c r="B10" s="59" t="s">
        <v>35</v>
      </c>
      <c r="C10" s="57"/>
    </row>
    <row r="11" spans="1:3" ht="79.5" thickBot="1" x14ac:dyDescent="0.3">
      <c r="A11" s="33">
        <v>1100</v>
      </c>
      <c r="B11" s="35" t="s">
        <v>36</v>
      </c>
      <c r="C11" s="60">
        <f>12.97*0.075</f>
        <v>0.97275</v>
      </c>
    </row>
    <row r="12" spans="1:3" ht="16.5" thickBot="1" x14ac:dyDescent="0.3">
      <c r="A12" s="38">
        <v>2310</v>
      </c>
      <c r="B12" s="35" t="s">
        <v>37</v>
      </c>
      <c r="C12" s="60">
        <v>0.38</v>
      </c>
    </row>
    <row r="13" spans="1:3" ht="16.5" thickBot="1" x14ac:dyDescent="0.3">
      <c r="A13" s="38">
        <v>2223</v>
      </c>
      <c r="B13" s="35" t="s">
        <v>38</v>
      </c>
      <c r="C13" s="60">
        <v>0.13</v>
      </c>
    </row>
    <row r="14" spans="1:3" ht="16.5" thickBot="1" x14ac:dyDescent="0.3">
      <c r="A14" s="58"/>
      <c r="B14" s="61" t="s">
        <v>39</v>
      </c>
      <c r="C14" s="60">
        <f>SUM(C11:C13)</f>
        <v>1.4827499999999998</v>
      </c>
    </row>
    <row r="15" spans="1:3" ht="16.5" thickBot="1" x14ac:dyDescent="0.3">
      <c r="A15" s="58"/>
      <c r="B15" s="64" t="s">
        <v>40</v>
      </c>
      <c r="C15" s="60"/>
    </row>
    <row r="16" spans="1:3" ht="79.5" thickBot="1" x14ac:dyDescent="0.3">
      <c r="A16" s="65">
        <v>1100</v>
      </c>
      <c r="B16" s="66" t="s">
        <v>87</v>
      </c>
      <c r="C16" s="60">
        <f>12.97*0.217</f>
        <v>2.8144900000000002</v>
      </c>
    </row>
    <row r="17" spans="1:3" ht="16.5" thickBot="1" x14ac:dyDescent="0.3">
      <c r="A17" s="33" t="s">
        <v>43</v>
      </c>
      <c r="B17" s="59" t="s">
        <v>49</v>
      </c>
      <c r="C17" s="60">
        <v>2.06</v>
      </c>
    </row>
    <row r="18" spans="1:3" ht="16.5" thickBot="1" x14ac:dyDescent="0.3">
      <c r="A18" s="58"/>
      <c r="B18" s="61" t="s">
        <v>50</v>
      </c>
      <c r="C18" s="60">
        <f>SUM(C16:C17)</f>
        <v>4.8744899999999998</v>
      </c>
    </row>
    <row r="19" spans="1:3" ht="16.5" thickBot="1" x14ac:dyDescent="0.3">
      <c r="A19" s="58"/>
      <c r="B19" s="59" t="s">
        <v>51</v>
      </c>
      <c r="C19" s="60"/>
    </row>
    <row r="20" spans="1:3" ht="79.5" thickBot="1" x14ac:dyDescent="0.3">
      <c r="A20" s="33">
        <v>1100</v>
      </c>
      <c r="B20" s="37" t="s">
        <v>52</v>
      </c>
      <c r="C20" s="36">
        <f>ROUND((12.97*0.038),2)</f>
        <v>0.49</v>
      </c>
    </row>
    <row r="21" spans="1:3" ht="79.5" thickBot="1" x14ac:dyDescent="0.3">
      <c r="A21" s="33">
        <v>1100</v>
      </c>
      <c r="B21" s="37" t="s">
        <v>53</v>
      </c>
      <c r="C21" s="36">
        <f>ROUND((19.58*0.038),2)</f>
        <v>0.74</v>
      </c>
    </row>
    <row r="22" spans="1:3" ht="16.5" thickBot="1" x14ac:dyDescent="0.3">
      <c r="A22" s="33">
        <v>2239</v>
      </c>
      <c r="B22" s="37" t="s">
        <v>54</v>
      </c>
      <c r="C22" s="36">
        <v>0.17</v>
      </c>
    </row>
    <row r="23" spans="1:3" ht="16.5" thickBot="1" x14ac:dyDescent="0.3">
      <c r="A23" s="33">
        <v>2250</v>
      </c>
      <c r="B23" s="37" t="s">
        <v>28</v>
      </c>
      <c r="C23" s="60">
        <v>0.61</v>
      </c>
    </row>
    <row r="24" spans="1:3" ht="16.5" thickBot="1" x14ac:dyDescent="0.3">
      <c r="A24" s="58"/>
      <c r="B24" s="61" t="s">
        <v>55</v>
      </c>
      <c r="C24" s="60">
        <f>SUM(C20:C23)</f>
        <v>2.0099999999999998</v>
      </c>
    </row>
    <row r="25" spans="1:3" ht="16.5" thickBot="1" x14ac:dyDescent="0.3">
      <c r="A25" s="58"/>
      <c r="B25" s="61" t="s">
        <v>8</v>
      </c>
      <c r="C25" s="60">
        <f>SUM(C14,C18,C24)</f>
        <v>8.3672399999999989</v>
      </c>
    </row>
    <row r="26" spans="1:3" ht="16.5" thickBot="1" x14ac:dyDescent="0.3">
      <c r="A26" s="58"/>
      <c r="B26" s="59"/>
      <c r="C26" s="60"/>
    </row>
    <row r="27" spans="1:3" ht="16.5" thickBot="1" x14ac:dyDescent="0.3">
      <c r="A27" s="58"/>
      <c r="B27" s="57" t="s">
        <v>9</v>
      </c>
      <c r="C27" s="60" t="s">
        <v>4</v>
      </c>
    </row>
    <row r="28" spans="1:3" ht="16.5" thickBot="1" x14ac:dyDescent="0.3">
      <c r="A28" s="33">
        <v>1100</v>
      </c>
      <c r="B28" s="40" t="s">
        <v>30</v>
      </c>
      <c r="C28" s="60">
        <v>0.06</v>
      </c>
    </row>
    <row r="29" spans="1:3" ht="16.5" thickBot="1" x14ac:dyDescent="0.3">
      <c r="A29" s="38">
        <v>2220</v>
      </c>
      <c r="B29" s="40" t="s">
        <v>12</v>
      </c>
      <c r="C29" s="60">
        <v>0.08</v>
      </c>
    </row>
    <row r="30" spans="1:3" ht="16.5" thickBot="1" x14ac:dyDescent="0.3">
      <c r="A30" s="38">
        <v>2240</v>
      </c>
      <c r="B30" s="40" t="s">
        <v>56</v>
      </c>
      <c r="C30" s="60">
        <v>0.22</v>
      </c>
    </row>
    <row r="31" spans="1:3" ht="16.5" thickBot="1" x14ac:dyDescent="0.3">
      <c r="A31" s="38">
        <v>2310</v>
      </c>
      <c r="B31" s="40" t="s">
        <v>15</v>
      </c>
      <c r="C31" s="60">
        <v>0.04</v>
      </c>
    </row>
    <row r="32" spans="1:3" ht="16.5" thickBot="1" x14ac:dyDescent="0.3">
      <c r="A32" s="38">
        <v>2340</v>
      </c>
      <c r="B32" s="40" t="s">
        <v>57</v>
      </c>
      <c r="C32" s="60">
        <v>0.08</v>
      </c>
    </row>
    <row r="33" spans="1:3" ht="16.5" thickBot="1" x14ac:dyDescent="0.3">
      <c r="A33" s="38">
        <v>5200</v>
      </c>
      <c r="B33" s="44" t="s">
        <v>16</v>
      </c>
      <c r="C33" s="60">
        <v>0.35</v>
      </c>
    </row>
    <row r="34" spans="1:3" ht="16.5" thickBot="1" x14ac:dyDescent="0.3">
      <c r="A34" s="58"/>
      <c r="B34" s="61" t="s">
        <v>17</v>
      </c>
      <c r="C34" s="60">
        <f>SUM(C28:C33)</f>
        <v>0.83</v>
      </c>
    </row>
    <row r="35" spans="1:3" ht="16.5" thickBot="1" x14ac:dyDescent="0.3">
      <c r="A35" s="56"/>
      <c r="B35" s="63" t="s">
        <v>18</v>
      </c>
      <c r="C35" s="60">
        <f>ROUND((SUM(C25,C34)),2)</f>
        <v>9.1999999999999993</v>
      </c>
    </row>
    <row r="36" spans="1:3" ht="16.5" thickBot="1" x14ac:dyDescent="0.3">
      <c r="A36" s="252" t="s">
        <v>19</v>
      </c>
      <c r="B36" s="253"/>
      <c r="C36" s="54">
        <v>1</v>
      </c>
    </row>
    <row r="37" spans="1:3" ht="16.5" thickBot="1" x14ac:dyDescent="0.3">
      <c r="A37" s="252" t="s">
        <v>20</v>
      </c>
      <c r="B37" s="253"/>
      <c r="C37" s="47">
        <f>C35</f>
        <v>9.1999999999999993</v>
      </c>
    </row>
    <row r="38" spans="1:3" ht="16.5" thickBot="1" x14ac:dyDescent="0.3">
      <c r="A38" s="252" t="s">
        <v>21</v>
      </c>
      <c r="B38" s="253"/>
      <c r="C38" s="88">
        <v>500</v>
      </c>
    </row>
    <row r="39" spans="1:3" ht="16.5" thickBot="1" x14ac:dyDescent="0.3">
      <c r="A39" s="252" t="s">
        <v>22</v>
      </c>
      <c r="B39" s="253"/>
      <c r="C39" s="47">
        <f>C38*C37</f>
        <v>4600</v>
      </c>
    </row>
  </sheetData>
  <mergeCells count="5">
    <mergeCell ref="B3:C3"/>
    <mergeCell ref="A36:B36"/>
    <mergeCell ref="A37:B37"/>
    <mergeCell ref="A38:B38"/>
    <mergeCell ref="A39:B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177</vt:i4>
      </vt:variant>
    </vt:vector>
  </HeadingPairs>
  <TitlesOfParts>
    <vt:vector size="177" baseType="lpstr">
      <vt:lpstr>1.1.1.</vt:lpstr>
      <vt:lpstr>1.1.2.</vt:lpstr>
      <vt:lpstr>1.1.3.</vt:lpstr>
      <vt:lpstr>1.2.1.</vt:lpstr>
      <vt:lpstr>1.2.2.</vt:lpstr>
      <vt:lpstr>1.3.1.</vt:lpstr>
      <vt:lpstr>1.3.2.</vt:lpstr>
      <vt:lpstr>1.3.3.</vt:lpstr>
      <vt:lpstr>1.4.</vt:lpstr>
      <vt:lpstr>2.</vt:lpstr>
      <vt:lpstr>3.1.</vt:lpstr>
      <vt:lpstr>3.2.</vt:lpstr>
      <vt:lpstr>3.3.</vt:lpstr>
      <vt:lpstr>3.4.</vt:lpstr>
      <vt:lpstr>4.1.</vt:lpstr>
      <vt:lpstr>4.2.</vt:lpstr>
      <vt:lpstr>4.3.</vt:lpstr>
      <vt:lpstr>4.4.</vt:lpstr>
      <vt:lpstr>4.5.</vt:lpstr>
      <vt:lpstr>4.6.</vt:lpstr>
      <vt:lpstr>4.7.</vt:lpstr>
      <vt:lpstr>4.8.</vt:lpstr>
      <vt:lpstr>4.9.</vt:lpstr>
      <vt:lpstr>4.10.</vt:lpstr>
      <vt:lpstr>4.11.</vt:lpstr>
      <vt:lpstr>4.12.</vt:lpstr>
      <vt:lpstr>4.13.</vt:lpstr>
      <vt:lpstr>4.14.</vt:lpstr>
      <vt:lpstr>5.1.</vt:lpstr>
      <vt:lpstr>5.2.</vt:lpstr>
      <vt:lpstr>6.1.</vt:lpstr>
      <vt:lpstr>6.2.1.1.</vt:lpstr>
      <vt:lpstr>6.2.1.2.</vt:lpstr>
      <vt:lpstr>6.2.1.3.</vt:lpstr>
      <vt:lpstr>6.2.1.4.</vt:lpstr>
      <vt:lpstr>6.2.1.5.</vt:lpstr>
      <vt:lpstr>6.2.1.6.</vt:lpstr>
      <vt:lpstr>6.2.1.7.</vt:lpstr>
      <vt:lpstr>6.2.1.8.</vt:lpstr>
      <vt:lpstr>6.2.1.9.</vt:lpstr>
      <vt:lpstr>6.2.1.10.</vt:lpstr>
      <vt:lpstr>6.2.1.11.</vt:lpstr>
      <vt:lpstr>6.2.1.12.</vt:lpstr>
      <vt:lpstr>6.2.1.13.</vt:lpstr>
      <vt:lpstr>6.2.2.1.</vt:lpstr>
      <vt:lpstr>6.2.2.2.</vt:lpstr>
      <vt:lpstr>6.2.2.3.</vt:lpstr>
      <vt:lpstr>6.2.2.4.</vt:lpstr>
      <vt:lpstr>6.2.2.5.</vt:lpstr>
      <vt:lpstr>6.2.2.6.</vt:lpstr>
      <vt:lpstr>6.2.2.7.</vt:lpstr>
      <vt:lpstr>6.2.2.8.</vt:lpstr>
      <vt:lpstr>6.2.2.9.</vt:lpstr>
      <vt:lpstr>6.2.2.10.</vt:lpstr>
      <vt:lpstr>6.2.2.11.</vt:lpstr>
      <vt:lpstr>6.2.2.12.</vt:lpstr>
      <vt:lpstr>6.2.2.13.</vt:lpstr>
      <vt:lpstr>6.2.2.14.</vt:lpstr>
      <vt:lpstr>6.2.2.15.</vt:lpstr>
      <vt:lpstr>6.2.3.1.</vt:lpstr>
      <vt:lpstr>6.2.3.2.1.</vt:lpstr>
      <vt:lpstr>6.2.3.2.2.</vt:lpstr>
      <vt:lpstr>6.2.3.2.3.</vt:lpstr>
      <vt:lpstr>6.2.3.2.4.</vt:lpstr>
      <vt:lpstr>6.2.3.3.1.</vt:lpstr>
      <vt:lpstr>6.2.3.3.2.</vt:lpstr>
      <vt:lpstr>6.2.3.3.3.</vt:lpstr>
      <vt:lpstr>6.2.3.4.1.</vt:lpstr>
      <vt:lpstr>6.2.3.4.2.</vt:lpstr>
      <vt:lpstr>6.2.3.4.3.</vt:lpstr>
      <vt:lpstr>6.2.3.4.4.</vt:lpstr>
      <vt:lpstr>7.1.</vt:lpstr>
      <vt:lpstr>7.2.</vt:lpstr>
      <vt:lpstr>7.3.</vt:lpstr>
      <vt:lpstr>8.1.</vt:lpstr>
      <vt:lpstr>8.2.</vt:lpstr>
      <vt:lpstr>8.3.</vt:lpstr>
      <vt:lpstr>9.8.</vt:lpstr>
      <vt:lpstr>12.1.3.3.1.</vt:lpstr>
      <vt:lpstr>12.1.3.3.2.</vt:lpstr>
      <vt:lpstr>12.3.</vt:lpstr>
      <vt:lpstr>20.</vt:lpstr>
      <vt:lpstr>22.1.</vt:lpstr>
      <vt:lpstr>22.2.</vt:lpstr>
      <vt:lpstr>26.1.1.</vt:lpstr>
      <vt:lpstr>26.1.2.</vt:lpstr>
      <vt:lpstr>26.2.</vt:lpstr>
      <vt:lpstr>26.3.</vt:lpstr>
      <vt:lpstr>27.1.1.</vt:lpstr>
      <vt:lpstr>27.1.2.</vt:lpstr>
      <vt:lpstr>27.2.1.</vt:lpstr>
      <vt:lpstr>27.2.2.</vt:lpstr>
      <vt:lpstr>27.3.</vt:lpstr>
      <vt:lpstr>27.4.</vt:lpstr>
      <vt:lpstr>27.5.</vt:lpstr>
      <vt:lpstr>27.6.</vt:lpstr>
      <vt:lpstr>27.7.</vt:lpstr>
      <vt:lpstr>27.8.</vt:lpstr>
      <vt:lpstr>27.9.</vt:lpstr>
      <vt:lpstr>27.10.</vt:lpstr>
      <vt:lpstr>27.11.</vt:lpstr>
      <vt:lpstr>27.12.</vt:lpstr>
      <vt:lpstr>27.13.</vt:lpstr>
      <vt:lpstr>27.14.</vt:lpstr>
      <vt:lpstr>27.15.</vt:lpstr>
      <vt:lpstr>27.16.</vt:lpstr>
      <vt:lpstr>27.17.</vt:lpstr>
      <vt:lpstr>27.18.</vt:lpstr>
      <vt:lpstr>28.1.</vt:lpstr>
      <vt:lpstr>28.2.</vt:lpstr>
      <vt:lpstr>28.3.</vt:lpstr>
      <vt:lpstr>29.1.</vt:lpstr>
      <vt:lpstr>29.2.</vt:lpstr>
      <vt:lpstr>29.3.</vt:lpstr>
      <vt:lpstr>30.</vt:lpstr>
      <vt:lpstr>31.1.1.</vt:lpstr>
      <vt:lpstr>31.1.2.</vt:lpstr>
      <vt:lpstr>31.2.1.</vt:lpstr>
      <vt:lpstr>31.2.2.</vt:lpstr>
      <vt:lpstr>31.2.3.</vt:lpstr>
      <vt:lpstr>31.2.4.</vt:lpstr>
      <vt:lpstr>32.</vt:lpstr>
      <vt:lpstr>33.</vt:lpstr>
      <vt:lpstr>34.</vt:lpstr>
      <vt:lpstr>63.</vt:lpstr>
      <vt:lpstr>64.</vt:lpstr>
      <vt:lpstr>65.</vt:lpstr>
      <vt:lpstr>66.1.</vt:lpstr>
      <vt:lpstr>66.2.</vt:lpstr>
      <vt:lpstr>66.3.</vt:lpstr>
      <vt:lpstr>68.1.1.</vt:lpstr>
      <vt:lpstr>68.1.2.</vt:lpstr>
      <vt:lpstr>68.1.3.</vt:lpstr>
      <vt:lpstr>68.1.4.</vt:lpstr>
      <vt:lpstr>68.1.5.</vt:lpstr>
      <vt:lpstr>68.1.6.</vt:lpstr>
      <vt:lpstr>68.1.7.</vt:lpstr>
      <vt:lpstr>68.1.8.</vt:lpstr>
      <vt:lpstr>68.2.1.</vt:lpstr>
      <vt:lpstr>68.2.2.</vt:lpstr>
      <vt:lpstr>68.2.3.</vt:lpstr>
      <vt:lpstr>68.2.4.</vt:lpstr>
      <vt:lpstr>68.2.5.</vt:lpstr>
      <vt:lpstr>68.2.6.</vt:lpstr>
      <vt:lpstr>68.2.7.</vt:lpstr>
      <vt:lpstr>68.2.8.</vt:lpstr>
      <vt:lpstr>69.</vt:lpstr>
      <vt:lpstr>70.1.</vt:lpstr>
      <vt:lpstr>70.2.</vt:lpstr>
      <vt:lpstr>70.3.</vt:lpstr>
      <vt:lpstr>71.1.1.</vt:lpstr>
      <vt:lpstr>71.1.2.</vt:lpstr>
      <vt:lpstr>71.1.3.</vt:lpstr>
      <vt:lpstr>71.1.4.</vt:lpstr>
      <vt:lpstr>71.1.5.</vt:lpstr>
      <vt:lpstr>71.1.6.</vt:lpstr>
      <vt:lpstr>71.1.7.</vt:lpstr>
      <vt:lpstr>71.1.8.</vt:lpstr>
      <vt:lpstr>71.2.1.</vt:lpstr>
      <vt:lpstr>71.2.2.</vt:lpstr>
      <vt:lpstr>71.2.3.</vt:lpstr>
      <vt:lpstr>71.2.4.</vt:lpstr>
      <vt:lpstr>71.2.5.</vt:lpstr>
      <vt:lpstr>71.2.6.</vt:lpstr>
      <vt:lpstr>71.2.7.</vt:lpstr>
      <vt:lpstr>71.2.8.</vt:lpstr>
      <vt:lpstr>72.1.</vt:lpstr>
      <vt:lpstr>72.2.</vt:lpstr>
      <vt:lpstr>72.3.</vt:lpstr>
      <vt:lpstr>72.4.</vt:lpstr>
      <vt:lpstr>72.5.</vt:lpstr>
      <vt:lpstr>72.6.</vt:lpstr>
      <vt:lpstr>72.7.</vt:lpstr>
      <vt:lpstr>72.8.</vt:lpstr>
      <vt:lpstr>73.</vt:lpstr>
      <vt:lpstr>74.</vt:lpstr>
      <vt:lpstr>97.</vt:lpstr>
    </vt:vector>
  </TitlesOfParts>
  <Company>Valsts augu aizsardzibas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Arita Andersone</dc:creator>
  <cp:lastModifiedBy>Iveta Blūma</cp:lastModifiedBy>
  <dcterms:created xsi:type="dcterms:W3CDTF">2026-04-15T10:16:38Z</dcterms:created>
  <dcterms:modified xsi:type="dcterms:W3CDTF">2026-04-28T19:30:33Z</dcterms:modified>
</cp:coreProperties>
</file>